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8850" activeTab="2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<sst xmlns="http://schemas.openxmlformats.org/spreadsheetml/2006/main" count="136" uniqueCount="109">
  <si>
    <t>Année 0</t>
  </si>
  <si>
    <t>Prob</t>
  </si>
  <si>
    <t>Décision 1</t>
  </si>
  <si>
    <t>Calcul du coût des capitaux propres : Cas de l'autofinnacement :</t>
  </si>
  <si>
    <t>Rf =</t>
  </si>
  <si>
    <t>E(RM) - Rf =</t>
  </si>
  <si>
    <t>Béta =</t>
  </si>
  <si>
    <t>investir 825000 + 200000</t>
  </si>
  <si>
    <t>hélicoptère</t>
  </si>
  <si>
    <t xml:space="preserve">VAN = </t>
  </si>
  <si>
    <t>VAN i   à 15 %</t>
  </si>
  <si>
    <t>investir 375000</t>
  </si>
  <si>
    <t>Fin 2</t>
  </si>
  <si>
    <t>ne pas investir</t>
  </si>
  <si>
    <t xml:space="preserve">        Années 3 à 15  </t>
  </si>
  <si>
    <t>Avion à réactions :</t>
  </si>
  <si>
    <t>Cash-Flows</t>
  </si>
  <si>
    <t>années 1 et 2</t>
  </si>
  <si>
    <t>années 3 à 15</t>
  </si>
  <si>
    <t>Demande élevée</t>
  </si>
  <si>
    <t>Demande faible</t>
  </si>
  <si>
    <t xml:space="preserve">Demande élevé 1et 2 + Demande élevée 3 à 15 </t>
  </si>
  <si>
    <t>Demande élevé 1et 2 + Demande faible 3 à 15</t>
  </si>
  <si>
    <t>Demande faible 1et 2 + Demande élevée 3 à 15</t>
  </si>
  <si>
    <t>Demande faible 1et 2 + Demande faible 3 à 15</t>
  </si>
  <si>
    <t>VAN</t>
  </si>
  <si>
    <t xml:space="preserve">    avion à réaction</t>
  </si>
  <si>
    <t xml:space="preserve">   E(VAN) = </t>
  </si>
  <si>
    <t>Probabilité</t>
  </si>
  <si>
    <t>0,6 x 0,8 =</t>
  </si>
  <si>
    <t>0,6 x 0,2 =</t>
  </si>
  <si>
    <t>0,4 x 0,4 =</t>
  </si>
  <si>
    <t>0,4 x 0,6 =</t>
  </si>
  <si>
    <t xml:space="preserve">Total  = </t>
  </si>
  <si>
    <t xml:space="preserve">Espérance de la VAN : E(VAN) = </t>
  </si>
  <si>
    <t xml:space="preserve"> =</t>
  </si>
  <si>
    <t>Calcul de la VAN espérée :</t>
  </si>
  <si>
    <t xml:space="preserve">Hélicoptère : </t>
  </si>
  <si>
    <t>décision 2 : Acheter un deuxième hélico à la fin de la 2éme année :</t>
  </si>
  <si>
    <t xml:space="preserve">  E(VAN) = </t>
  </si>
  <si>
    <t xml:space="preserve"> E(VAN) = </t>
  </si>
  <si>
    <t>valeur résid</t>
  </si>
  <si>
    <t xml:space="preserve">     Cash-Flows de 3 à 15 </t>
  </si>
  <si>
    <t>la valeur résiduelle de l'hélicoptère à la fin du projet et après 13 ans d'utilisation est de :</t>
  </si>
  <si>
    <t>VAN  fin 2</t>
  </si>
  <si>
    <t xml:space="preserve">VAN fin 2 = </t>
  </si>
  <si>
    <t>investir :</t>
  </si>
  <si>
    <t>prob</t>
  </si>
  <si>
    <t xml:space="preserve">E(VAN) = </t>
  </si>
  <si>
    <t>décision 2 : Ne pas acheter un deuxième hélico à la fin de la 2éme année :</t>
  </si>
  <si>
    <t>Valeur actuelle  des cash-flows en fin 2 =</t>
  </si>
  <si>
    <t>CF 1 =</t>
  </si>
  <si>
    <t xml:space="preserve">    CF2  =</t>
  </si>
  <si>
    <t>Décision 2</t>
  </si>
  <si>
    <t>Demande faible     (0,2)      FT=</t>
  </si>
  <si>
    <t>Demande élevée    (0,8)      FT=</t>
  </si>
  <si>
    <t xml:space="preserve">Demande faible     (0,6)     FT = </t>
  </si>
  <si>
    <t xml:space="preserve">Demande Elevé     (0,4)     FT = </t>
  </si>
  <si>
    <t>Demande faible      (0,2)      FT=</t>
  </si>
  <si>
    <t>Demande faible    (0,4)     FT=</t>
  </si>
  <si>
    <t>demande Elevé     (0,6)     FT=</t>
  </si>
  <si>
    <t xml:space="preserve">Demande élevée     (0,4)   FT = </t>
  </si>
  <si>
    <t>Demande faible    (0,6)     CF2=</t>
  </si>
  <si>
    <t xml:space="preserve">Demande élevée     (0,4)    FT= </t>
  </si>
  <si>
    <t>Demande faible     (0,6)     FT =</t>
  </si>
  <si>
    <t>Demande faible   (0,4)     FT=</t>
  </si>
  <si>
    <t>Demande Elevé     (0,6)    FT=</t>
  </si>
  <si>
    <t>Décision 1 : acheter un hélicoptère à la fin de l'année 0 :</t>
  </si>
  <si>
    <t xml:space="preserve">investir </t>
  </si>
  <si>
    <t>Cash-flows</t>
  </si>
  <si>
    <t>année 1</t>
  </si>
  <si>
    <t>Demande élevée 1 et 2 + investir 375000 en fin 2</t>
  </si>
  <si>
    <t xml:space="preserve">            Année 2</t>
  </si>
  <si>
    <t>actualisés en 2</t>
  </si>
  <si>
    <t xml:space="preserve">Espérance de la VAN :     E(VAN) = </t>
  </si>
  <si>
    <t>Demande faible 1 et 2 +  demande élevée de 3 à 15</t>
  </si>
  <si>
    <t>100 000 + 580 636  =</t>
  </si>
  <si>
    <t>Demande faible 1 et 2 +  demande faible de 3 à 15</t>
  </si>
  <si>
    <t>+</t>
  </si>
  <si>
    <t>VAN =</t>
  </si>
  <si>
    <t>VAN i</t>
  </si>
  <si>
    <t xml:space="preserve"> Ke = 7% + 5% x 1,6 =</t>
  </si>
  <si>
    <t xml:space="preserve"> 80% x VCN = 80% x 375 000 x (2/15) =</t>
  </si>
  <si>
    <t>Cash-flow</t>
  </si>
  <si>
    <t xml:space="preserve">          Cash-flow</t>
  </si>
  <si>
    <t xml:space="preserve">Total = </t>
  </si>
  <si>
    <t>E(CF) =</t>
  </si>
  <si>
    <t xml:space="preserve">       probabilité = 0,6</t>
  </si>
  <si>
    <t>Demande Elevé     (0,8)       FT=</t>
  </si>
  <si>
    <t xml:space="preserve">                        Fin  Années  1 et 2 </t>
  </si>
  <si>
    <t>financement mixte :</t>
  </si>
  <si>
    <t>VAN ajustée = VAN de base + VAN de l'emprunt</t>
  </si>
  <si>
    <t>Si acquisition d'un avion à réactions :</t>
  </si>
  <si>
    <t>VAN de l'emprunt est égal aux économies d'impôts actualisées au taux de la dette avant impôts</t>
  </si>
  <si>
    <t xml:space="preserve">taux d'actualisation = </t>
  </si>
  <si>
    <t>Coût de l'investissement =</t>
  </si>
  <si>
    <t>la moitié sera financée par dette soit : 1 025 000 /2  =</t>
  </si>
  <si>
    <t xml:space="preserve">Les économies d'impôts sont de  :     512 500 x 12,125% x 35% = </t>
  </si>
  <si>
    <t xml:space="preserve">La VAN de l'emprunt : </t>
  </si>
  <si>
    <t>Si acquisition d'un hélicoptère :</t>
  </si>
  <si>
    <t xml:space="preserve">     La VAN de l'emprunt : </t>
  </si>
  <si>
    <t xml:space="preserve">  =</t>
  </si>
  <si>
    <t xml:space="preserve">          La VAN ajustée = </t>
  </si>
  <si>
    <t>Ces économies d'impôts sont réalisées sur les deux hélicoptère , le 1er acquis en fin 0 et le second en fin 2</t>
  </si>
  <si>
    <t xml:space="preserve">    Ainsi la VAN de l'emprunt est égale à  :</t>
  </si>
  <si>
    <t xml:space="preserve"> +</t>
  </si>
  <si>
    <t xml:space="preserve">        La VAN ajustée =</t>
  </si>
  <si>
    <t>la moitié sera financée par dette soit : 375 000  =</t>
  </si>
  <si>
    <t xml:space="preserve">Les économies d'impôts sont de  :     375000 x 12,125% x 35% =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</si>
</sst>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lightUp"/>
    </fill>
    <fill>
      <patternFill patternType="gray06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ashDotDot"/>
      <right>
        <color indexed="63"/>
      </right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 style="thin"/>
      <top>
        <color indexed="63"/>
      </top>
      <bottom>
        <color indexed="63"/>
      </bottom>
    </border>
    <border>
      <left style="dashDotDot"/>
      <right style="thin"/>
      <top style="thin"/>
      <bottom style="thin"/>
    </border>
    <border>
      <left style="dashDotDot"/>
      <right style="thin"/>
      <top>
        <color indexed="63"/>
      </top>
      <bottom style="thin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dashDotDot"/>
      <top style="thin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4" fontId="2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4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3" fontId="0" fillId="0" borderId="1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3" fontId="2" fillId="2" borderId="4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3" xfId="0" applyBorder="1" applyAlignment="1">
      <alignment/>
    </xf>
    <xf numFmtId="4" fontId="2" fillId="0" borderId="0" xfId="0" applyNumberFormat="1" applyFont="1" applyAlignment="1">
      <alignment horizontal="left"/>
    </xf>
    <xf numFmtId="0" fontId="1" fillId="0" borderId="12" xfId="0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1" fillId="0" borderId="8" xfId="0" applyNumberFormat="1" applyFont="1" applyBorder="1" applyAlignment="1">
      <alignment horizontal="left"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3" fontId="1" fillId="0" borderId="13" xfId="0" applyNumberFormat="1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10" xfId="0" applyBorder="1" applyAlignment="1">
      <alignment/>
    </xf>
    <xf numFmtId="4" fontId="1" fillId="0" borderId="1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10" fontId="3" fillId="0" borderId="8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 horizontal="left"/>
    </xf>
    <xf numFmtId="4" fontId="2" fillId="3" borderId="17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" fillId="3" borderId="6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3" fontId="1" fillId="3" borderId="0" xfId="0" applyNumberFormat="1" applyFont="1" applyFill="1" applyAlignment="1">
      <alignment horizontal="left"/>
    </xf>
    <xf numFmtId="4" fontId="1" fillId="3" borderId="17" xfId="0" applyNumberFormat="1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left"/>
    </xf>
    <xf numFmtId="3" fontId="2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3" fontId="0" fillId="3" borderId="0" xfId="0" applyNumberFormat="1" applyFill="1" applyAlignment="1">
      <alignment/>
    </xf>
    <xf numFmtId="3" fontId="1" fillId="3" borderId="1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1" xfId="0" applyBorder="1" applyAlignment="1">
      <alignment/>
    </xf>
    <xf numFmtId="0" fontId="2" fillId="2" borderId="23" xfId="0" applyFont="1" applyFill="1" applyBorder="1" applyAlignment="1">
      <alignment/>
    </xf>
    <xf numFmtId="0" fontId="1" fillId="0" borderId="21" xfId="0" applyFont="1" applyBorder="1" applyAlignment="1">
      <alignment horizontal="right"/>
    </xf>
    <xf numFmtId="0" fontId="0" fillId="3" borderId="21" xfId="0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 horizontal="right"/>
    </xf>
    <xf numFmtId="0" fontId="1" fillId="3" borderId="20" xfId="0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1" fillId="0" borderId="28" xfId="0" applyNumberFormat="1" applyFont="1" applyBorder="1" applyAlignment="1">
      <alignment horizontal="left"/>
    </xf>
    <xf numFmtId="0" fontId="1" fillId="3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4" fontId="3" fillId="0" borderId="8" xfId="0" applyNumberFormat="1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2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23">
      <selection activeCell="C13" sqref="C13"/>
    </sheetView>
  </sheetViews>
  <sheetFormatPr defaultColWidth="9.140625" defaultRowHeight="12.75"/>
  <cols>
    <col min="1" max="1" width="9.00390625" style="0" customWidth="1"/>
    <col min="2" max="2" width="9.57421875" style="0" customWidth="1"/>
    <col min="3" max="3" width="10.8515625" style="0" customWidth="1"/>
    <col min="4" max="4" width="8.8515625" style="0" customWidth="1"/>
    <col min="5" max="5" width="12.28125" style="0" customWidth="1"/>
    <col min="6" max="6" width="8.8515625" style="59" customWidth="1"/>
    <col min="7" max="7" width="9.140625" style="59" customWidth="1"/>
    <col min="8" max="8" width="13.28125" style="0" customWidth="1"/>
    <col min="9" max="9" width="8.421875" style="0" customWidth="1"/>
    <col min="10" max="10" width="13.7109375" style="0" customWidth="1"/>
    <col min="11" max="11" width="9.140625" style="59" customWidth="1"/>
    <col min="12" max="12" width="11.00390625" style="0" customWidth="1"/>
    <col min="13" max="13" width="6.7109375" style="68" customWidth="1"/>
    <col min="14" max="16384" width="11.421875" style="0" customWidth="1"/>
  </cols>
  <sheetData>
    <row r="1" ht="12.75">
      <c r="L1" s="10"/>
    </row>
    <row r="2" spans="1:13" ht="12.75">
      <c r="A2" s="118"/>
      <c r="B2" s="1" t="s">
        <v>0</v>
      </c>
      <c r="C2" s="2"/>
      <c r="D2" s="3" t="s">
        <v>89</v>
      </c>
      <c r="E2" s="1"/>
      <c r="F2" s="62"/>
      <c r="G2" s="58"/>
      <c r="H2" s="22" t="s">
        <v>12</v>
      </c>
      <c r="I2" s="3" t="s">
        <v>14</v>
      </c>
      <c r="J2" s="1"/>
      <c r="K2" s="62"/>
      <c r="L2" s="71" t="s">
        <v>10</v>
      </c>
      <c r="M2" s="70" t="s">
        <v>1</v>
      </c>
    </row>
    <row r="3" spans="1:13" ht="12.75">
      <c r="A3" s="119"/>
      <c r="B3" s="4"/>
      <c r="C3" s="4"/>
      <c r="D3" s="119"/>
      <c r="E3" s="4"/>
      <c r="G3" s="131"/>
      <c r="H3" s="89"/>
      <c r="I3" s="128"/>
      <c r="K3" s="63"/>
      <c r="L3" s="43"/>
      <c r="M3" s="28"/>
    </row>
    <row r="4" spans="1:13" ht="12.75">
      <c r="A4" s="119"/>
      <c r="B4" s="4"/>
      <c r="C4" s="4"/>
      <c r="D4" s="119"/>
      <c r="E4" s="7"/>
      <c r="G4" s="132"/>
      <c r="H4" s="7"/>
      <c r="I4" s="121"/>
      <c r="K4" s="63"/>
      <c r="L4" s="44"/>
      <c r="M4" s="67"/>
    </row>
    <row r="5" spans="1:13" ht="12.75">
      <c r="A5" s="119"/>
      <c r="B5" s="4"/>
      <c r="C5" s="4"/>
      <c r="D5" s="119"/>
      <c r="E5" s="8"/>
      <c r="G5" s="132"/>
      <c r="H5" s="94"/>
      <c r="I5" s="118" t="s">
        <v>88</v>
      </c>
      <c r="J5" s="1"/>
      <c r="K5" s="64">
        <v>300000</v>
      </c>
      <c r="L5" s="45">
        <f>Feuil2!G11</f>
        <v>566640.1411205179</v>
      </c>
      <c r="M5" s="67">
        <f>0.6*0.8</f>
        <v>0.48</v>
      </c>
    </row>
    <row r="6" spans="1:13" ht="12.75">
      <c r="A6" s="119"/>
      <c r="B6" s="4"/>
      <c r="C6" s="4"/>
      <c r="D6" s="119"/>
      <c r="E6" s="7"/>
      <c r="G6" s="132"/>
      <c r="H6" s="94"/>
      <c r="I6" s="13"/>
      <c r="J6" s="14"/>
      <c r="K6" s="65"/>
      <c r="L6" s="46"/>
      <c r="M6" s="67"/>
    </row>
    <row r="7" spans="1:13" ht="12.75">
      <c r="A7" s="119"/>
      <c r="B7" s="4"/>
      <c r="C7" s="4"/>
      <c r="D7" s="118" t="s">
        <v>60</v>
      </c>
      <c r="E7" s="25"/>
      <c r="F7" s="60">
        <v>200000</v>
      </c>
      <c r="G7" s="133"/>
      <c r="H7" s="23"/>
      <c r="I7" s="9"/>
      <c r="J7" s="7"/>
      <c r="L7" s="46"/>
      <c r="M7" s="67"/>
    </row>
    <row r="8" spans="1:13" ht="12.75">
      <c r="A8" s="119"/>
      <c r="B8" s="4"/>
      <c r="C8" s="4"/>
      <c r="D8" s="13"/>
      <c r="E8" s="16"/>
      <c r="G8" s="132"/>
      <c r="H8" s="94"/>
      <c r="I8" s="9"/>
      <c r="J8" s="7"/>
      <c r="L8" s="46"/>
      <c r="M8" s="67"/>
    </row>
    <row r="9" spans="1:13" ht="12.75">
      <c r="A9" s="119"/>
      <c r="B9" s="4"/>
      <c r="C9" s="4"/>
      <c r="D9" s="9"/>
      <c r="E9" s="4"/>
      <c r="G9" s="132"/>
      <c r="H9" s="94"/>
      <c r="I9" s="3" t="s">
        <v>58</v>
      </c>
      <c r="J9" s="1"/>
      <c r="K9" s="64">
        <v>70000</v>
      </c>
      <c r="L9" s="45">
        <f>Feuil2!G12</f>
        <v>-404341.9380863721</v>
      </c>
      <c r="M9" s="67">
        <f>0.6*0.2</f>
        <v>0.12</v>
      </c>
    </row>
    <row r="10" spans="1:13" ht="12.75">
      <c r="A10" s="119"/>
      <c r="B10" s="4"/>
      <c r="C10" s="4"/>
      <c r="D10" s="9"/>
      <c r="E10" s="4"/>
      <c r="G10" s="132"/>
      <c r="H10" s="94"/>
      <c r="I10" s="129"/>
      <c r="J10" s="14"/>
      <c r="K10" s="65"/>
      <c r="L10" s="46"/>
      <c r="M10" s="67"/>
    </row>
    <row r="11" spans="1:13" ht="12.75">
      <c r="A11" s="119"/>
      <c r="B11" s="5" t="s">
        <v>7</v>
      </c>
      <c r="C11" s="5"/>
      <c r="D11" s="9"/>
      <c r="E11" s="4"/>
      <c r="G11" s="132"/>
      <c r="H11" s="94"/>
      <c r="I11" s="119"/>
      <c r="J11" s="7"/>
      <c r="L11" s="46"/>
      <c r="M11" s="67"/>
    </row>
    <row r="12" spans="1:13" ht="12.75">
      <c r="A12" s="119"/>
      <c r="B12" s="15" t="s">
        <v>26</v>
      </c>
      <c r="C12" s="6"/>
      <c r="D12" s="9"/>
      <c r="E12" s="4"/>
      <c r="G12" s="132"/>
      <c r="H12" s="94"/>
      <c r="I12" s="119"/>
      <c r="J12" s="7"/>
      <c r="L12" s="46"/>
      <c r="M12" s="67"/>
    </row>
    <row r="13" spans="1:13" ht="12.75">
      <c r="A13" s="120"/>
      <c r="B13" s="18" t="s">
        <v>27</v>
      </c>
      <c r="C13" s="19">
        <f>Feuil2!F16</f>
        <v>28482.08850536152</v>
      </c>
      <c r="D13" s="9"/>
      <c r="E13" s="4"/>
      <c r="G13" s="132"/>
      <c r="H13" s="94"/>
      <c r="I13" s="118" t="s">
        <v>57</v>
      </c>
      <c r="J13" s="1"/>
      <c r="K13" s="64">
        <v>200000</v>
      </c>
      <c r="L13" s="45">
        <f>Feuil2!G13</f>
        <v>-107510.85740043607</v>
      </c>
      <c r="M13" s="67">
        <f>0.4*0.4</f>
        <v>0.16000000000000003</v>
      </c>
    </row>
    <row r="14" spans="1:13" ht="12.75">
      <c r="A14" s="120"/>
      <c r="D14" s="9"/>
      <c r="E14" s="4"/>
      <c r="G14" s="132"/>
      <c r="H14" s="94"/>
      <c r="I14" s="13"/>
      <c r="J14" s="14"/>
      <c r="K14" s="65"/>
      <c r="L14" s="46"/>
      <c r="M14" s="67"/>
    </row>
    <row r="15" spans="1:13" ht="12.75">
      <c r="A15" s="120"/>
      <c r="B15" s="9"/>
      <c r="C15" s="7"/>
      <c r="D15" s="118" t="s">
        <v>59</v>
      </c>
      <c r="E15" s="25"/>
      <c r="F15" s="60">
        <v>45000</v>
      </c>
      <c r="G15" s="133"/>
      <c r="H15" s="23"/>
      <c r="I15" s="9"/>
      <c r="J15" s="7"/>
      <c r="L15" s="46"/>
      <c r="M15" s="67"/>
    </row>
    <row r="16" spans="1:13" ht="12.75">
      <c r="A16" s="119"/>
      <c r="B16" s="9"/>
      <c r="C16" s="7"/>
      <c r="D16" s="123"/>
      <c r="E16" s="16"/>
      <c r="G16" s="132"/>
      <c r="H16" s="94"/>
      <c r="I16" s="9"/>
      <c r="J16" s="7"/>
      <c r="L16" s="46"/>
      <c r="M16" s="67"/>
    </row>
    <row r="17" spans="1:13" ht="12.75">
      <c r="A17" s="121"/>
      <c r="B17" s="9"/>
      <c r="C17" s="4"/>
      <c r="D17" s="119"/>
      <c r="E17" s="4"/>
      <c r="G17" s="132"/>
      <c r="H17" s="94"/>
      <c r="I17" s="3" t="s">
        <v>56</v>
      </c>
      <c r="J17" s="1"/>
      <c r="K17" s="64">
        <v>50000</v>
      </c>
      <c r="L17" s="45">
        <f>Feuil2!G14</f>
        <v>-740760.039491886</v>
      </c>
      <c r="M17" s="67">
        <f>0.4*0.6</f>
        <v>0.24</v>
      </c>
    </row>
    <row r="18" spans="1:13" ht="12.75">
      <c r="A18" s="119"/>
      <c r="B18" s="9"/>
      <c r="C18" s="7"/>
      <c r="D18" s="119"/>
      <c r="E18" s="4"/>
      <c r="G18" s="132"/>
      <c r="H18" s="94"/>
      <c r="I18" s="129"/>
      <c r="J18" s="14"/>
      <c r="K18" s="65"/>
      <c r="L18" s="44"/>
      <c r="M18" s="137"/>
    </row>
    <row r="19" spans="1:13" ht="12.75">
      <c r="A19" s="119"/>
      <c r="B19" s="9"/>
      <c r="C19" s="7"/>
      <c r="D19" s="119"/>
      <c r="E19" s="4"/>
      <c r="G19" s="132"/>
      <c r="H19" s="7"/>
      <c r="I19" s="119"/>
      <c r="J19" s="7"/>
      <c r="K19" s="63"/>
      <c r="L19" s="44"/>
      <c r="M19" s="137"/>
    </row>
    <row r="20" spans="1:13" ht="12.75">
      <c r="A20" s="119"/>
      <c r="B20" s="9"/>
      <c r="C20" s="4"/>
      <c r="D20" s="119"/>
      <c r="E20" s="7"/>
      <c r="G20" s="132"/>
      <c r="H20" s="7"/>
      <c r="I20" s="119"/>
      <c r="J20" s="4"/>
      <c r="L20" s="138"/>
      <c r="M20" s="137"/>
    </row>
    <row r="21" spans="1:13" ht="12.75">
      <c r="A21" s="119"/>
      <c r="B21" s="9"/>
      <c r="C21" s="4"/>
      <c r="D21" s="119"/>
      <c r="E21" s="8"/>
      <c r="G21" s="132"/>
      <c r="H21" s="94"/>
      <c r="I21" s="118" t="s">
        <v>55</v>
      </c>
      <c r="J21" s="1"/>
      <c r="K21" s="64">
        <v>200000</v>
      </c>
      <c r="L21" s="45">
        <f>Feuil2!G27</f>
        <v>748699.3572036797</v>
      </c>
      <c r="M21" s="67"/>
    </row>
    <row r="22" spans="1:13" ht="12.75">
      <c r="A22" s="122" t="s">
        <v>2</v>
      </c>
      <c r="B22" s="9"/>
      <c r="C22" s="4"/>
      <c r="D22" s="119"/>
      <c r="E22" s="7"/>
      <c r="G22" s="132"/>
      <c r="H22" s="25"/>
      <c r="I22" s="13"/>
      <c r="J22" s="14"/>
      <c r="K22" s="65"/>
      <c r="L22" s="53"/>
      <c r="M22" s="67"/>
    </row>
    <row r="23" spans="1:13" ht="12.75">
      <c r="A23" s="121"/>
      <c r="B23" s="9"/>
      <c r="C23" s="4"/>
      <c r="D23" s="121"/>
      <c r="H23" s="135" t="s">
        <v>11</v>
      </c>
      <c r="I23" s="18" t="s">
        <v>48</v>
      </c>
      <c r="J23" s="47">
        <f>Feuil2!F30</f>
        <v>581204.9485404913</v>
      </c>
      <c r="K23" s="66"/>
      <c r="L23" s="53"/>
      <c r="M23" s="67"/>
    </row>
    <row r="24" spans="1:13" ht="12.75">
      <c r="A24" s="121"/>
      <c r="B24" s="9"/>
      <c r="C24" s="4"/>
      <c r="D24" s="121"/>
      <c r="H24" s="136">
        <f>J23</f>
        <v>581204.9485404913</v>
      </c>
      <c r="I24" s="9"/>
      <c r="J24" s="7"/>
      <c r="L24" s="53"/>
      <c r="M24" s="67"/>
    </row>
    <row r="25" spans="1:13" ht="12.75">
      <c r="A25" s="121"/>
      <c r="B25" s="9"/>
      <c r="C25" s="4"/>
      <c r="D25" s="121"/>
      <c r="H25" s="92"/>
      <c r="I25" s="3" t="s">
        <v>54</v>
      </c>
      <c r="J25" s="1"/>
      <c r="K25" s="64">
        <v>50000</v>
      </c>
      <c r="L25" s="55">
        <f>Feuil2!G28</f>
        <v>-88772.6861122627</v>
      </c>
      <c r="M25" s="67"/>
    </row>
    <row r="26" spans="1:13" ht="12.75">
      <c r="A26" s="121"/>
      <c r="B26" s="9"/>
      <c r="C26" s="4"/>
      <c r="D26" s="121"/>
      <c r="H26" s="24"/>
      <c r="I26" s="129"/>
      <c r="J26" s="14"/>
      <c r="K26" s="65"/>
      <c r="L26" s="53"/>
      <c r="M26" s="67"/>
    </row>
    <row r="27" spans="1:13" ht="12.75">
      <c r="A27" s="121"/>
      <c r="B27" s="24"/>
      <c r="D27" s="118" t="s">
        <v>66</v>
      </c>
      <c r="E27" s="25"/>
      <c r="F27" s="61">
        <v>100000</v>
      </c>
      <c r="G27" s="72" t="s">
        <v>53</v>
      </c>
      <c r="H27" s="24"/>
      <c r="I27" s="121"/>
      <c r="L27" s="54"/>
      <c r="M27" s="69"/>
    </row>
    <row r="28" spans="1:13" ht="12.75">
      <c r="A28" s="121"/>
      <c r="B28" s="24"/>
      <c r="D28" s="13" t="s">
        <v>51</v>
      </c>
      <c r="E28" s="16">
        <f>F27</f>
        <v>100000</v>
      </c>
      <c r="H28" s="101"/>
      <c r="I28" s="130" t="s">
        <v>61</v>
      </c>
      <c r="J28" s="102"/>
      <c r="K28" s="103">
        <v>100000</v>
      </c>
      <c r="L28" s="104">
        <f>K28*(1-1.15^-13)/15%</f>
        <v>558314.6955439616</v>
      </c>
      <c r="M28" s="69"/>
    </row>
    <row r="29" spans="1:13" ht="12.75">
      <c r="A29" s="121"/>
      <c r="B29" s="24"/>
      <c r="D29" s="13" t="s">
        <v>52</v>
      </c>
      <c r="E29" s="57">
        <f>F27+J23</f>
        <v>681204.9485404913</v>
      </c>
      <c r="H29" s="105"/>
      <c r="I29" s="106"/>
      <c r="J29" s="107"/>
      <c r="K29" s="108"/>
      <c r="L29" s="109"/>
      <c r="M29" s="67"/>
    </row>
    <row r="30" spans="1:13" ht="12.75">
      <c r="A30" s="121"/>
      <c r="B30" s="24"/>
      <c r="D30" s="116" t="s">
        <v>86</v>
      </c>
      <c r="E30" s="79">
        <f>Feuil2!H51</f>
        <v>227045.32970925624</v>
      </c>
      <c r="H30" s="134" t="s">
        <v>13</v>
      </c>
      <c r="I30" s="110" t="s">
        <v>39</v>
      </c>
      <c r="J30" s="111">
        <f>Feuil2!F40</f>
        <v>357321.4051481355</v>
      </c>
      <c r="K30" s="112"/>
      <c r="L30" s="109"/>
      <c r="M30" s="69"/>
    </row>
    <row r="31" spans="1:13" ht="12.75">
      <c r="A31" s="121"/>
      <c r="B31" s="9"/>
      <c r="C31" s="7"/>
      <c r="D31" s="127" t="s">
        <v>87</v>
      </c>
      <c r="H31" s="124"/>
      <c r="I31" s="101"/>
      <c r="J31" s="113"/>
      <c r="K31" s="114"/>
      <c r="L31" s="109"/>
      <c r="M31" s="69"/>
    </row>
    <row r="32" spans="1:13" ht="12.75">
      <c r="A32" s="121"/>
      <c r="B32" s="3"/>
      <c r="C32" s="7"/>
      <c r="D32" s="24"/>
      <c r="H32" s="124"/>
      <c r="I32" s="101" t="s">
        <v>62</v>
      </c>
      <c r="J32" s="102"/>
      <c r="K32" s="115">
        <v>40000</v>
      </c>
      <c r="L32" s="104">
        <f>K32*(1-1.15^-13)/15%</f>
        <v>223325.8782175847</v>
      </c>
      <c r="M32" s="69"/>
    </row>
    <row r="33" spans="1:13" ht="12.75">
      <c r="A33" s="121"/>
      <c r="B33" s="5" t="s">
        <v>11</v>
      </c>
      <c r="C33" s="5"/>
      <c r="D33" s="24"/>
      <c r="H33" s="121"/>
      <c r="I33" s="128"/>
      <c r="L33" s="54"/>
      <c r="M33" s="69"/>
    </row>
    <row r="34" spans="1:13" ht="12.75">
      <c r="A34" s="121"/>
      <c r="B34" s="48" t="s">
        <v>8</v>
      </c>
      <c r="C34" s="7"/>
      <c r="D34" s="24"/>
      <c r="H34" s="121"/>
      <c r="I34" s="121"/>
      <c r="L34" s="54"/>
      <c r="M34" s="69"/>
    </row>
    <row r="35" spans="1:13" ht="12.75">
      <c r="A35" s="121"/>
      <c r="B35" s="20" t="s">
        <v>40</v>
      </c>
      <c r="C35" s="47">
        <f>Feuil2!F60</f>
        <v>126815.90259625635</v>
      </c>
      <c r="D35" s="24"/>
      <c r="H35" s="121"/>
      <c r="I35" s="121"/>
      <c r="L35" s="54"/>
      <c r="M35" s="69"/>
    </row>
    <row r="36" spans="1:13" ht="12.75">
      <c r="A36" s="121"/>
      <c r="D36" s="9"/>
      <c r="E36" s="4"/>
      <c r="H36" s="121"/>
      <c r="I36" s="118" t="s">
        <v>63</v>
      </c>
      <c r="J36" s="1"/>
      <c r="K36" s="64">
        <v>100000</v>
      </c>
      <c r="L36" s="55">
        <f>Feuil2!H54</f>
        <v>128451.56562870444</v>
      </c>
      <c r="M36" s="67">
        <f>0.4*0.4</f>
        <v>0.16000000000000003</v>
      </c>
    </row>
    <row r="37" spans="1:13" ht="12.75">
      <c r="A37" s="121"/>
      <c r="D37" s="9"/>
      <c r="E37" s="4"/>
      <c r="H37" s="121"/>
      <c r="I37" s="13"/>
      <c r="J37" s="14"/>
      <c r="K37" s="65"/>
      <c r="L37" s="53"/>
      <c r="M37" s="67"/>
    </row>
    <row r="38" spans="1:13" ht="12.75">
      <c r="A38" s="121"/>
      <c r="D38" s="118" t="s">
        <v>65</v>
      </c>
      <c r="E38" s="25"/>
      <c r="F38" s="60">
        <v>50000</v>
      </c>
      <c r="G38" s="60"/>
      <c r="H38" s="125"/>
      <c r="I38" s="9"/>
      <c r="J38" s="7"/>
      <c r="L38" s="53"/>
      <c r="M38" s="67"/>
    </row>
    <row r="39" spans="1:13" ht="12.75">
      <c r="A39" s="121"/>
      <c r="D39" s="123"/>
      <c r="E39" s="16"/>
      <c r="H39" s="121"/>
      <c r="I39" s="9"/>
      <c r="J39" s="7"/>
      <c r="L39" s="53"/>
      <c r="M39" s="67"/>
    </row>
    <row r="40" spans="1:13" ht="12.75">
      <c r="A40" s="121"/>
      <c r="B40" s="94"/>
      <c r="C40" s="94"/>
      <c r="D40" s="119"/>
      <c r="E40" s="7"/>
      <c r="F40" s="117"/>
      <c r="G40" s="117"/>
      <c r="H40" s="126"/>
      <c r="I40" s="3" t="s">
        <v>64</v>
      </c>
      <c r="J40" s="1"/>
      <c r="K40" s="64">
        <v>40000</v>
      </c>
      <c r="L40" s="55">
        <f>Feuil2!H57</f>
        <v>-124848.1072078755</v>
      </c>
      <c r="M40" s="67">
        <f>0.4*0.6</f>
        <v>0.24</v>
      </c>
    </row>
  </sheetData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43">
      <selection activeCell="C17" sqref="C17"/>
    </sheetView>
  </sheetViews>
  <sheetFormatPr defaultColWidth="9.140625" defaultRowHeight="12.75"/>
  <cols>
    <col min="1" max="1" width="7.140625" style="0" customWidth="1"/>
    <col min="2" max="2" width="7.421875" style="0" customWidth="1"/>
    <col min="3" max="3" width="12.00390625" style="0" customWidth="1"/>
    <col min="4" max="4" width="9.7109375" style="0" customWidth="1"/>
    <col min="5" max="5" width="10.140625" style="0" customWidth="1"/>
    <col min="6" max="6" width="10.421875" style="0" customWidth="1"/>
    <col min="7" max="7" width="9.8515625" style="0" customWidth="1"/>
    <col min="9" max="9" width="8.7109375" style="0" customWidth="1"/>
    <col min="10" max="10" width="10.8515625" style="0" customWidth="1"/>
    <col min="11" max="11" width="11.57421875" style="0" customWidth="1"/>
    <col min="12" max="12" width="7.8515625" style="0" customWidth="1"/>
    <col min="13" max="13" width="11.8515625" style="0" customWidth="1"/>
    <col min="14" max="16384" width="11.421875" style="0" customWidth="1"/>
  </cols>
  <sheetData>
    <row r="1" ht="12.75">
      <c r="A1" s="10" t="s">
        <v>3</v>
      </c>
    </row>
    <row r="2" spans="1:9" ht="12.75">
      <c r="A2" s="95" t="s">
        <v>4</v>
      </c>
      <c r="B2" s="96">
        <v>0.07</v>
      </c>
      <c r="C2" s="95" t="s">
        <v>5</v>
      </c>
      <c r="D2" s="96">
        <v>0.05</v>
      </c>
      <c r="E2" s="95" t="s">
        <v>6</v>
      </c>
      <c r="F2" s="97">
        <v>1.6</v>
      </c>
      <c r="G2" s="87" t="s">
        <v>81</v>
      </c>
      <c r="H2" s="78"/>
      <c r="I2" s="98">
        <f>7%+5%*1.6</f>
        <v>0.15000000000000002</v>
      </c>
    </row>
    <row r="4" ht="15.75">
      <c r="A4" s="27" t="s">
        <v>15</v>
      </c>
    </row>
    <row r="5" ht="12.75">
      <c r="A5" s="10" t="s">
        <v>36</v>
      </c>
    </row>
    <row r="7" ht="12.75">
      <c r="A7" t="s">
        <v>9</v>
      </c>
    </row>
    <row r="9" spans="1:10" ht="12.75">
      <c r="A9" s="4"/>
      <c r="B9" s="4"/>
      <c r="C9" s="4"/>
      <c r="D9" s="4"/>
      <c r="E9" s="28" t="s">
        <v>16</v>
      </c>
      <c r="F9" s="28" t="s">
        <v>16</v>
      </c>
      <c r="G9" s="28" t="s">
        <v>25</v>
      </c>
      <c r="H9" s="29" t="s">
        <v>28</v>
      </c>
      <c r="I9" s="30"/>
      <c r="J9" s="7"/>
    </row>
    <row r="10" spans="1:11" ht="12.75">
      <c r="A10" s="31"/>
      <c r="B10" s="4"/>
      <c r="C10" s="4"/>
      <c r="D10" s="4"/>
      <c r="E10" s="32" t="s">
        <v>17</v>
      </c>
      <c r="F10" s="32" t="s">
        <v>18</v>
      </c>
      <c r="G10" s="33">
        <f>I2</f>
        <v>0.15000000000000002</v>
      </c>
      <c r="H10" s="3"/>
      <c r="I10" s="2"/>
      <c r="J10" s="7"/>
      <c r="K10" s="7"/>
    </row>
    <row r="11" spans="1:11" ht="12.75">
      <c r="A11" s="34" t="s">
        <v>21</v>
      </c>
      <c r="B11" s="35"/>
      <c r="C11" s="35"/>
      <c r="D11" s="36"/>
      <c r="E11" s="37">
        <f>Feuil1!F7</f>
        <v>200000</v>
      </c>
      <c r="F11" s="37">
        <f>Feuil1!K5</f>
        <v>300000</v>
      </c>
      <c r="G11" s="51">
        <f>-(825000+200000)+(E11*(1-1.15^-2)/15%)+(F11*(1-1.15^-13)/15%)*(1.15^-2)</f>
        <v>566640.1411205179</v>
      </c>
      <c r="H11" s="38" t="s">
        <v>29</v>
      </c>
      <c r="I11" s="17">
        <f>0.6*0.8</f>
        <v>0.48</v>
      </c>
      <c r="J11" s="75"/>
      <c r="K11" s="7"/>
    </row>
    <row r="12" spans="1:11" ht="12.75">
      <c r="A12" s="34" t="s">
        <v>22</v>
      </c>
      <c r="B12" s="35"/>
      <c r="C12" s="35"/>
      <c r="D12" s="36"/>
      <c r="E12" s="37">
        <f>Feuil1!F7</f>
        <v>200000</v>
      </c>
      <c r="F12" s="37">
        <f>Feuil1!K9</f>
        <v>70000</v>
      </c>
      <c r="G12" s="51">
        <f>-(825000+200000)+(E12*(1-1.15^-2)/15%)+(F12*(1-1.15^-13)/15%)*(1.15^-2)</f>
        <v>-404341.9380863721</v>
      </c>
      <c r="H12" s="38" t="s">
        <v>30</v>
      </c>
      <c r="I12" s="17">
        <f>0.6*0.2</f>
        <v>0.12</v>
      </c>
      <c r="J12" s="75"/>
      <c r="K12" s="75"/>
    </row>
    <row r="13" spans="1:11" ht="12.75">
      <c r="A13" s="34" t="s">
        <v>23</v>
      </c>
      <c r="B13" s="35"/>
      <c r="C13" s="35"/>
      <c r="D13" s="36"/>
      <c r="E13" s="37">
        <f>Feuil1!F15</f>
        <v>45000</v>
      </c>
      <c r="F13" s="37">
        <f>Feuil1!K13</f>
        <v>200000</v>
      </c>
      <c r="G13" s="51">
        <f>-(825000+200000)+(E13*(1-1.15^-2)/15%)+(F13*(1-1.15^-13)/15%)*(1.15^-2)</f>
        <v>-107510.85740043607</v>
      </c>
      <c r="H13" s="38" t="s">
        <v>31</v>
      </c>
      <c r="I13" s="17">
        <f>0.4*0.4</f>
        <v>0.16000000000000003</v>
      </c>
      <c r="J13" s="75"/>
      <c r="K13" s="75"/>
    </row>
    <row r="14" spans="1:11" ht="12.75">
      <c r="A14" s="34" t="s">
        <v>24</v>
      </c>
      <c r="B14" s="35"/>
      <c r="C14" s="35"/>
      <c r="D14" s="36"/>
      <c r="E14" s="37">
        <f>Feuil1!F15</f>
        <v>45000</v>
      </c>
      <c r="F14" s="37">
        <f>Feuil1!K17</f>
        <v>50000</v>
      </c>
      <c r="G14" s="51">
        <f>-(825000+200000)+(E14*(1-1.15^-2)/15%)+(F14*(1-1.15^-13)/15%)*(1.15^-2)</f>
        <v>-740760.039491886</v>
      </c>
      <c r="H14" s="38" t="s">
        <v>32</v>
      </c>
      <c r="I14" s="17">
        <f>0.4*0.6</f>
        <v>0.24</v>
      </c>
      <c r="J14" s="75"/>
      <c r="K14" s="75"/>
    </row>
    <row r="15" spans="1:11" ht="12.75">
      <c r="A15" s="4"/>
      <c r="B15" s="4"/>
      <c r="C15" s="4"/>
      <c r="D15" s="4"/>
      <c r="E15" s="39"/>
      <c r="F15" s="39"/>
      <c r="G15" s="4"/>
      <c r="H15" s="80" t="s">
        <v>33</v>
      </c>
      <c r="I15" s="17">
        <f>SUM(I11:I14)</f>
        <v>1</v>
      </c>
      <c r="J15" s="75"/>
      <c r="K15" s="75"/>
    </row>
    <row r="16" spans="1:11" ht="12.75">
      <c r="A16" t="s">
        <v>34</v>
      </c>
      <c r="D16" s="11"/>
      <c r="E16" s="11" t="s">
        <v>35</v>
      </c>
      <c r="F16" s="79">
        <f>G11*I11+G12*I12+G13*I13+G14*I14</f>
        <v>28482.08850536152</v>
      </c>
      <c r="G16" s="4"/>
      <c r="H16" s="4"/>
      <c r="I16" s="4"/>
      <c r="J16" s="4"/>
      <c r="K16" s="75"/>
    </row>
    <row r="17" ht="12.75">
      <c r="K17" s="4"/>
    </row>
    <row r="18" ht="15.75">
      <c r="A18" s="40" t="s">
        <v>37</v>
      </c>
    </row>
    <row r="20" ht="12.75">
      <c r="A20" s="41" t="s">
        <v>38</v>
      </c>
    </row>
    <row r="21" ht="12.75">
      <c r="A21" s="52" t="s">
        <v>43</v>
      </c>
    </row>
    <row r="22" spans="1:11" ht="12.75">
      <c r="A22" s="4"/>
      <c r="B22" s="4" t="s">
        <v>82</v>
      </c>
      <c r="C22" s="4"/>
      <c r="D22" s="4"/>
      <c r="E22" s="65">
        <f>(0.8*375000*2/15)+(375000*2/15*0.2*0.35)</f>
        <v>43500</v>
      </c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10" t="s">
        <v>45</v>
      </c>
      <c r="I24" s="4"/>
      <c r="J24" s="4"/>
      <c r="K24" s="4"/>
    </row>
    <row r="25" spans="9:11" ht="12.75">
      <c r="I25" s="4"/>
      <c r="J25" s="4"/>
      <c r="K25" s="4"/>
    </row>
    <row r="26" spans="1:11" ht="12.75">
      <c r="A26" s="4"/>
      <c r="B26" s="4"/>
      <c r="C26" s="4"/>
      <c r="D26" s="34" t="s">
        <v>42</v>
      </c>
      <c r="E26" s="36"/>
      <c r="F26" s="5" t="s">
        <v>41</v>
      </c>
      <c r="G26" s="50" t="s">
        <v>44</v>
      </c>
      <c r="H26" s="50" t="s">
        <v>47</v>
      </c>
      <c r="I26" s="4"/>
      <c r="J26" s="4"/>
      <c r="K26" s="4"/>
    </row>
    <row r="27" spans="1:11" ht="12.75">
      <c r="A27" s="34" t="s">
        <v>46</v>
      </c>
      <c r="B27" s="49">
        <v>375000</v>
      </c>
      <c r="C27" s="5" t="s">
        <v>19</v>
      </c>
      <c r="D27" s="38">
        <f>Feuil1!K21</f>
        <v>200000</v>
      </c>
      <c r="E27" s="49"/>
      <c r="F27" s="50">
        <f>E22</f>
        <v>43500</v>
      </c>
      <c r="G27" s="51">
        <f>-B27+(D27*(1-1.15^-13)/15%)+F27*1.15^-13</f>
        <v>748699.3572036797</v>
      </c>
      <c r="H27" s="50">
        <v>0.8</v>
      </c>
      <c r="I27" s="4"/>
      <c r="J27" s="4"/>
      <c r="K27" s="4"/>
    </row>
    <row r="28" spans="1:11" ht="12.75">
      <c r="A28" s="4"/>
      <c r="B28" s="4"/>
      <c r="C28" s="5" t="s">
        <v>20</v>
      </c>
      <c r="D28" s="34">
        <f>Feuil1!K25</f>
        <v>50000</v>
      </c>
      <c r="E28" s="36"/>
      <c r="F28" s="50">
        <f>E22</f>
        <v>43500</v>
      </c>
      <c r="G28" s="51">
        <f>-B27+(D28*(1-1.15^-13)/15%)+F28*1.15^-13</f>
        <v>-88772.6861122627</v>
      </c>
      <c r="H28" s="50">
        <v>0.2</v>
      </c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t="s">
        <v>74</v>
      </c>
      <c r="D30" s="11"/>
      <c r="E30" s="11" t="s">
        <v>35</v>
      </c>
      <c r="F30" s="79">
        <f>G27*H27+G28*H28</f>
        <v>581204.9485404913</v>
      </c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1" t="s">
        <v>49</v>
      </c>
      <c r="I32" s="4"/>
      <c r="J32" s="4"/>
      <c r="K32" s="4"/>
    </row>
    <row r="33" ht="12.75">
      <c r="A33" s="52"/>
    </row>
    <row r="34" spans="1:8" ht="12.75">
      <c r="A34" s="10" t="s">
        <v>50</v>
      </c>
      <c r="F34" s="4"/>
      <c r="G34" s="4"/>
      <c r="H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C36" s="34" t="s">
        <v>42</v>
      </c>
      <c r="D36" s="36"/>
      <c r="E36" s="50" t="s">
        <v>44</v>
      </c>
      <c r="F36" s="50" t="s">
        <v>47</v>
      </c>
      <c r="I36" s="4"/>
      <c r="J36" s="4"/>
      <c r="K36" s="4"/>
    </row>
    <row r="37" spans="1:11" ht="12.75">
      <c r="A37" s="34" t="s">
        <v>19</v>
      </c>
      <c r="B37" s="26"/>
      <c r="C37" s="38">
        <f>Feuil1!K28</f>
        <v>100000</v>
      </c>
      <c r="D37" s="49"/>
      <c r="E37" s="51">
        <f>Feuil1!K28*(1-1.15^-13)/15%</f>
        <v>558314.6955439616</v>
      </c>
      <c r="F37" s="50">
        <v>0.4</v>
      </c>
      <c r="I37" s="4"/>
      <c r="J37" s="4"/>
      <c r="K37" s="4"/>
    </row>
    <row r="38" spans="1:11" ht="12.75">
      <c r="A38" s="34" t="s">
        <v>20</v>
      </c>
      <c r="B38" s="26"/>
      <c r="C38" s="34">
        <f>Feuil1!K32</f>
        <v>40000</v>
      </c>
      <c r="D38" s="36"/>
      <c r="E38" s="51">
        <f>Feuil1!K32*(1-1.15^-13)/15%</f>
        <v>223325.8782175847</v>
      </c>
      <c r="F38" s="50">
        <v>0.6</v>
      </c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I39" s="4"/>
      <c r="J39" s="4"/>
      <c r="K39" s="4"/>
    </row>
    <row r="40" spans="1:11" ht="12.75">
      <c r="A40" t="s">
        <v>34</v>
      </c>
      <c r="D40" s="11"/>
      <c r="E40" s="11" t="s">
        <v>35</v>
      </c>
      <c r="F40" s="79">
        <f>E37*F37+E38*F38</f>
        <v>357321.4051481355</v>
      </c>
      <c r="I40" s="4"/>
      <c r="J40" s="4"/>
      <c r="K40" s="4"/>
    </row>
    <row r="41" spans="1:11" ht="12.75">
      <c r="A41" s="4"/>
      <c r="B41" s="4"/>
      <c r="I41" s="4"/>
      <c r="J41" s="4"/>
      <c r="K41" s="4"/>
    </row>
    <row r="42" spans="1:11" ht="12.75">
      <c r="A42" s="73" t="s">
        <v>67</v>
      </c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28" t="s">
        <v>83</v>
      </c>
      <c r="G43" s="84" t="s">
        <v>84</v>
      </c>
      <c r="H43" s="86"/>
      <c r="I43" s="85"/>
      <c r="J43" s="21" t="s">
        <v>69</v>
      </c>
      <c r="K43" s="4"/>
    </row>
    <row r="44" spans="1:13" ht="12.75">
      <c r="A44" s="4"/>
      <c r="B44" s="4"/>
      <c r="C44" s="4"/>
      <c r="D44" s="4"/>
      <c r="E44" s="4"/>
      <c r="F44" s="32" t="s">
        <v>70</v>
      </c>
      <c r="G44" s="3" t="s">
        <v>72</v>
      </c>
      <c r="H44" s="25"/>
      <c r="I44" s="23"/>
      <c r="J44" s="42" t="s">
        <v>18</v>
      </c>
      <c r="M44" s="4"/>
    </row>
    <row r="45" spans="1:13" ht="12.75">
      <c r="A45" s="76" t="s">
        <v>68</v>
      </c>
      <c r="B45" s="34" t="s">
        <v>71</v>
      </c>
      <c r="C45" s="35"/>
      <c r="D45" s="35"/>
      <c r="E45" s="36"/>
      <c r="F45" s="81">
        <f>Feuil1!F27</f>
        <v>100000</v>
      </c>
      <c r="G45" s="82" t="s">
        <v>76</v>
      </c>
      <c r="H45" s="35"/>
      <c r="I45" s="83">
        <f>Feuil1!E29</f>
        <v>681204.9485404913</v>
      </c>
      <c r="J45" s="35" t="s">
        <v>73</v>
      </c>
      <c r="M45" s="4"/>
    </row>
    <row r="46" spans="1:13" ht="12.75">
      <c r="A46" s="77">
        <f>375000</f>
        <v>375000</v>
      </c>
      <c r="B46" s="34" t="s">
        <v>75</v>
      </c>
      <c r="C46" s="78"/>
      <c r="D46" s="35"/>
      <c r="E46" s="36"/>
      <c r="F46" s="37">
        <f>Feuil1!F38</f>
        <v>50000</v>
      </c>
      <c r="G46" s="87"/>
      <c r="H46" s="88">
        <f>Feuil1!F38</f>
        <v>50000</v>
      </c>
      <c r="I46" s="36"/>
      <c r="J46" s="37">
        <f>Feuil1!K36</f>
        <v>100000</v>
      </c>
      <c r="M46" s="4"/>
    </row>
    <row r="47" spans="1:13" ht="12.75">
      <c r="A47" s="4"/>
      <c r="B47" s="34" t="s">
        <v>77</v>
      </c>
      <c r="C47" s="78"/>
      <c r="D47" s="35"/>
      <c r="E47" s="36"/>
      <c r="F47" s="37">
        <f>Feuil1!F38</f>
        <v>50000</v>
      </c>
      <c r="G47" s="34"/>
      <c r="H47" s="88">
        <f>Feuil1!F38</f>
        <v>50000</v>
      </c>
      <c r="I47" s="36"/>
      <c r="J47" s="37">
        <f>Feuil1!K40</f>
        <v>40000</v>
      </c>
      <c r="M47" s="59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89"/>
    </row>
    <row r="49" spans="1:10" ht="12.75">
      <c r="A49" s="4"/>
      <c r="B49" s="39"/>
      <c r="C49" s="4"/>
      <c r="D49" s="4"/>
      <c r="E49" s="4"/>
      <c r="F49" s="4"/>
      <c r="G49" s="4"/>
      <c r="H49" s="28" t="s">
        <v>80</v>
      </c>
      <c r="I49" s="28" t="s">
        <v>28</v>
      </c>
      <c r="J49" s="4"/>
    </row>
    <row r="50" spans="1:11" ht="12.75">
      <c r="A50" s="92"/>
      <c r="B50" s="99"/>
      <c r="C50" s="89"/>
      <c r="D50" s="89"/>
      <c r="E50" s="89"/>
      <c r="F50" s="89"/>
      <c r="G50" s="89"/>
      <c r="H50" s="21"/>
      <c r="I50" s="21"/>
      <c r="J50" s="4"/>
      <c r="K50" s="4"/>
    </row>
    <row r="51" spans="1:10" ht="12.75" customHeight="1">
      <c r="A51" s="56" t="s">
        <v>79</v>
      </c>
      <c r="B51" s="63">
        <f>-A46</f>
        <v>-375000</v>
      </c>
      <c r="C51" s="7" t="s">
        <v>78</v>
      </c>
      <c r="D51" s="7"/>
      <c r="E51" s="7"/>
      <c r="F51" s="7"/>
      <c r="G51" s="14" t="s">
        <v>35</v>
      </c>
      <c r="H51" s="91">
        <f>B51+F45*(1.15)^-1+I45*(1.15)^-2</f>
        <v>227045.32970925624</v>
      </c>
      <c r="I51" s="67">
        <v>0.6</v>
      </c>
      <c r="J51" s="4"/>
    </row>
    <row r="52" spans="1:10" ht="12.75" customHeight="1">
      <c r="A52" s="90"/>
      <c r="B52" s="100"/>
      <c r="C52" s="1"/>
      <c r="D52" s="1"/>
      <c r="E52" s="1"/>
      <c r="F52" s="1"/>
      <c r="G52" s="1"/>
      <c r="H52" s="42"/>
      <c r="I52" s="42"/>
      <c r="J52" s="4"/>
    </row>
    <row r="53" spans="1:9" ht="12.75" customHeight="1">
      <c r="A53" s="21"/>
      <c r="B53" s="89"/>
      <c r="C53" s="89"/>
      <c r="D53" s="89"/>
      <c r="E53" s="89"/>
      <c r="F53" s="89"/>
      <c r="G53" s="89"/>
      <c r="H53" s="21"/>
      <c r="I53" s="21"/>
    </row>
    <row r="54" spans="1:9" ht="12.75" customHeight="1">
      <c r="A54" s="56" t="s">
        <v>79</v>
      </c>
      <c r="B54" s="7">
        <f>-A46</f>
        <v>-375000</v>
      </c>
      <c r="C54" s="7" t="s">
        <v>78</v>
      </c>
      <c r="D54" s="7"/>
      <c r="E54" s="7"/>
      <c r="F54" s="7"/>
      <c r="G54" s="14" t="s">
        <v>35</v>
      </c>
      <c r="H54" s="91">
        <f>B54+(F46*(1-1.15^-2)/15%)+(J46*(1-1.15^-13)/15%)*(1.15^-2)</f>
        <v>128451.56562870444</v>
      </c>
      <c r="I54" s="67">
        <v>0.16</v>
      </c>
    </row>
    <row r="55" spans="1:9" ht="12.75" customHeight="1">
      <c r="A55" s="42"/>
      <c r="B55" s="1"/>
      <c r="C55" s="1"/>
      <c r="D55" s="1"/>
      <c r="E55" s="1"/>
      <c r="F55" s="1"/>
      <c r="G55" s="1"/>
      <c r="H55" s="42"/>
      <c r="I55" s="42"/>
    </row>
    <row r="56" spans="1:9" ht="12.75" customHeight="1">
      <c r="A56" s="92"/>
      <c r="B56" s="89"/>
      <c r="C56" s="89"/>
      <c r="D56" s="89"/>
      <c r="E56" s="89"/>
      <c r="F56" s="89"/>
      <c r="G56" s="89"/>
      <c r="H56" s="21"/>
      <c r="I56" s="21"/>
    </row>
    <row r="57" spans="1:9" ht="12.75" customHeight="1">
      <c r="A57" s="56" t="s">
        <v>79</v>
      </c>
      <c r="B57" s="7">
        <f>-A46</f>
        <v>-375000</v>
      </c>
      <c r="C57" s="7" t="s">
        <v>78</v>
      </c>
      <c r="D57" s="7"/>
      <c r="E57" s="7"/>
      <c r="F57" s="7"/>
      <c r="G57" s="14" t="s">
        <v>35</v>
      </c>
      <c r="H57" s="91">
        <f>B57+(F47*(1-1.15^-2)/15%)+(J47*(1-1.15^-13)/15%)*(1.15^-2)</f>
        <v>-124848.1072078755</v>
      </c>
      <c r="I57" s="67">
        <v>0.24</v>
      </c>
    </row>
    <row r="58" spans="1:10" ht="12.75" customHeight="1">
      <c r="A58" s="90"/>
      <c r="B58" s="1"/>
      <c r="C58" s="1"/>
      <c r="D58" s="1"/>
      <c r="E58" s="1"/>
      <c r="F58" s="1"/>
      <c r="G58" s="1"/>
      <c r="H58" s="42"/>
      <c r="I58" s="42"/>
      <c r="J58" s="7"/>
    </row>
    <row r="59" spans="8:9" ht="12.75">
      <c r="H59" s="95" t="s">
        <v>85</v>
      </c>
      <c r="I59" s="97">
        <f>I57+I54+I51</f>
        <v>1</v>
      </c>
    </row>
    <row r="60" spans="1:6" ht="12.75">
      <c r="A60" t="s">
        <v>34</v>
      </c>
      <c r="D60" s="11"/>
      <c r="E60" s="11" t="s">
        <v>35</v>
      </c>
      <c r="F60" s="79">
        <f>H51*I51+H54*I54+H57*I57</f>
        <v>126815.90259625635</v>
      </c>
    </row>
    <row r="61" spans="1:10" ht="12.75" customHeight="1">
      <c r="A61" s="7"/>
      <c r="B61" s="7"/>
      <c r="C61" s="7"/>
      <c r="D61" s="7"/>
      <c r="E61" s="7"/>
      <c r="F61" s="7"/>
      <c r="G61" s="7"/>
      <c r="H61" s="7"/>
      <c r="I61" s="93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63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94"/>
      <c r="B66" s="94"/>
      <c r="C66" s="94"/>
      <c r="D66" s="94"/>
      <c r="E66" s="94"/>
      <c r="F66" s="94"/>
      <c r="G66" s="94"/>
      <c r="H66" s="94"/>
      <c r="I66" s="94"/>
      <c r="J66" s="94"/>
    </row>
  </sheetData>
  <printOptions/>
  <pageMargins left="0.1968503937007874" right="0.1968503937007874" top="0.3937007874015748" bottom="0.3937007874015748" header="0.5118110236220472" footer="0.5118110236220472"/>
  <pageSetup orientation="portrait" paperSize="9" r:id="rId12"/>
  <legacyDrawing r:id="rId11"/>
  <oleObjects>
    <oleObject progId="Equation.3" shapeId="188851" r:id="rId1"/>
    <oleObject progId="Equation.3" shapeId="133605" r:id="rId2"/>
    <oleObject progId="Equation.3" shapeId="216595" r:id="rId3"/>
    <oleObject progId="Equation.3" shapeId="246594" r:id="rId4"/>
    <oleObject progId="Equation.3" shapeId="262071" r:id="rId5"/>
    <oleObject progId="Equation.3" shapeId="262077" r:id="rId6"/>
    <oleObject progId="Equation.3" shapeId="291085" r:id="rId7"/>
    <oleObject progId="Equation.3" shapeId="325825" r:id="rId8"/>
    <oleObject progId="Equation.3" shapeId="378355" r:id="rId9"/>
    <oleObject progId="Equation.3" shapeId="393009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1">
      <selection activeCell="G9" sqref="G9"/>
    </sheetView>
  </sheetViews>
  <sheetFormatPr defaultColWidth="9.140625" defaultRowHeight="12.75"/>
  <cols>
    <col min="1" max="3" width="11.421875" style="0" customWidth="1"/>
    <col min="4" max="4" width="13.140625" style="0" customWidth="1"/>
    <col min="5" max="5" width="10.00390625" style="0" customWidth="1"/>
    <col min="6" max="16384" width="11.421875" style="0" customWidth="1"/>
  </cols>
  <sheetData>
    <row r="2" ht="15.75" customHeight="1">
      <c r="A2" s="146" t="s">
        <v>90</v>
      </c>
    </row>
    <row r="3" ht="15.75" customHeight="1">
      <c r="C3" t="s">
        <v>91</v>
      </c>
    </row>
    <row r="4" ht="15.75" customHeight="1"/>
    <row r="5" ht="15.75" customHeight="1">
      <c r="A5" t="s">
        <v>93</v>
      </c>
    </row>
    <row r="6" ht="15.75" customHeight="1"/>
    <row r="7" spans="1:4" ht="15.75" customHeight="1">
      <c r="A7" t="s">
        <v>94</v>
      </c>
      <c r="C7" s="11" t="s">
        <v>35</v>
      </c>
      <c r="D7" s="12">
        <f>11.64%/(1-3%)</f>
        <v>0.12000000000000001</v>
      </c>
    </row>
    <row r="8" ht="15.75" customHeight="1"/>
    <row r="9" ht="15.75" customHeight="1"/>
    <row r="10" ht="15.75" customHeight="1">
      <c r="A10" s="27" t="s">
        <v>92</v>
      </c>
    </row>
    <row r="11" ht="15.75" customHeight="1"/>
    <row r="12" spans="1:3" ht="15.75" customHeight="1">
      <c r="A12" t="s">
        <v>95</v>
      </c>
      <c r="C12" s="139">
        <f>825000+200000</f>
        <v>1025000</v>
      </c>
    </row>
    <row r="13" spans="1:5" ht="15.75" customHeight="1">
      <c r="A13" t="s">
        <v>96</v>
      </c>
      <c r="E13" s="139">
        <f>C12/2</f>
        <v>512500</v>
      </c>
    </row>
    <row r="14" spans="1:6" ht="15.75" customHeight="1">
      <c r="A14" t="s">
        <v>97</v>
      </c>
      <c r="F14" s="140">
        <f>E13*12.125%*35%</f>
        <v>21749.21875</v>
      </c>
    </row>
    <row r="15" ht="15.75" customHeight="1"/>
    <row r="16" spans="1:6" ht="15.75" customHeight="1">
      <c r="A16" t="s">
        <v>100</v>
      </c>
      <c r="C16" s="74">
        <f>F14</f>
        <v>21749.21875</v>
      </c>
      <c r="E16" s="68" t="s">
        <v>35</v>
      </c>
      <c r="F16" s="140">
        <f>F14*(1-(1.12)^-15)/12%</f>
        <v>148130.9816579815</v>
      </c>
    </row>
    <row r="17" ht="15.75" customHeight="1"/>
    <row r="18" spans="1:7" ht="15.75" customHeight="1">
      <c r="A18" s="141" t="s">
        <v>102</v>
      </c>
      <c r="B18" s="142"/>
      <c r="C18" s="143">
        <f>Feuil2!F16</f>
        <v>28482.08850536152</v>
      </c>
      <c r="D18" s="144" t="s">
        <v>78</v>
      </c>
      <c r="E18" s="143">
        <f>Feuil3!F16</f>
        <v>148130.9816579815</v>
      </c>
      <c r="F18" s="144" t="s">
        <v>101</v>
      </c>
      <c r="G18" s="145">
        <f>C18+E18</f>
        <v>176613.070163343</v>
      </c>
    </row>
    <row r="19" ht="15.75" customHeight="1"/>
    <row r="20" ht="15.75" customHeight="1"/>
    <row r="21" ht="15.75" customHeight="1">
      <c r="A21" s="27" t="s">
        <v>99</v>
      </c>
    </row>
    <row r="22" ht="15.75" customHeight="1"/>
    <row r="23" spans="1:3" ht="15.75" customHeight="1">
      <c r="A23" t="s">
        <v>95</v>
      </c>
      <c r="C23" s="139">
        <f>375000</f>
        <v>375000</v>
      </c>
    </row>
    <row r="24" spans="1:5" ht="15.75" customHeight="1">
      <c r="A24" t="s">
        <v>107</v>
      </c>
      <c r="E24" s="139">
        <v>375000</v>
      </c>
    </row>
    <row r="25" spans="1:6" ht="15.75" customHeight="1">
      <c r="A25" t="s">
        <v>108</v>
      </c>
      <c r="F25" s="140">
        <f>E24*12.125%*35%</f>
        <v>15914.062499999998</v>
      </c>
    </row>
    <row r="26" ht="15.75" customHeight="1">
      <c r="A26" t="s">
        <v>103</v>
      </c>
    </row>
    <row r="27" ht="15.75" customHeight="1"/>
    <row r="28" ht="15.75" customHeight="1"/>
    <row r="29" spans="1:6" ht="15.75" customHeight="1">
      <c r="A29" t="s">
        <v>98</v>
      </c>
      <c r="C29" s="74">
        <f>F25</f>
        <v>15914.062499999998</v>
      </c>
      <c r="E29" s="68" t="s">
        <v>35</v>
      </c>
      <c r="F29" s="140">
        <f>F25*(1-(1.12)^-15)/12%</f>
        <v>108388.5231643767</v>
      </c>
    </row>
    <row r="30" ht="15.75" customHeight="1"/>
    <row r="31" ht="15.75" customHeight="1"/>
    <row r="32" spans="2:6" ht="15.75" customHeight="1">
      <c r="B32" s="74"/>
      <c r="D32" s="68"/>
      <c r="E32" s="68"/>
      <c r="F32" s="140"/>
    </row>
    <row r="33" ht="15.75" customHeight="1"/>
    <row r="34" spans="2:5" ht="15.75" customHeight="1">
      <c r="B34" t="s">
        <v>104</v>
      </c>
      <c r="E34" s="140">
        <f>F29+F32</f>
        <v>108388.5231643767</v>
      </c>
    </row>
    <row r="35" ht="15.75" customHeight="1"/>
    <row r="36" spans="1:7" ht="15.75" customHeight="1">
      <c r="A36" s="141" t="s">
        <v>106</v>
      </c>
      <c r="B36" s="142"/>
      <c r="C36" s="143">
        <f>Feuil2!F60</f>
        <v>126815.90259625635</v>
      </c>
      <c r="D36" s="144" t="s">
        <v>105</v>
      </c>
      <c r="E36" s="143">
        <f>E34</f>
        <v>108388.5231643767</v>
      </c>
      <c r="F36" s="144" t="s">
        <v>35</v>
      </c>
      <c r="G36" s="145">
        <f>C36+E36</f>
        <v>235204.42576063305</v>
      </c>
    </row>
    <row r="37" ht="15.75" customHeight="1"/>
  </sheetData>
  <printOptions/>
  <pageMargins left="0.3937007874015748" right="0.3937007874015748" top="0.7874015748031497" bottom="0.7874015748031497" header="0.5118110236220472" footer="0.5118110236220472"/>
  <pageSetup orientation="portrait" paperSize="9" r:id="rId5"/>
  <legacyDrawing r:id="rId4"/>
  <oleObjects>
    <oleObject progId="Equation.3" shapeId="527814" r:id="rId1"/>
    <oleObject progId="Equation.3" shapeId="560800" r:id="rId2"/>
    <oleObject progId="Equation.3" shapeId="57446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AKRMI</dc:creator>
  <cp:keywords/>
  <dc:description/>
  <cp:lastModifiedBy>hamadi</cp:lastModifiedBy>
  <cp:lastPrinted>2003-09-14T08:50:53Z</cp:lastPrinted>
  <dcterms:created xsi:type="dcterms:W3CDTF">2003-09-13T07:07:52Z</dcterms:created>
  <dcterms:modified xsi:type="dcterms:W3CDTF">2008-05-09T14:48:21Z</dcterms:modified>
  <cp:category/>
  <cp:version/>
  <cp:contentType/>
  <cp:contentStatus/>
</cp:coreProperties>
</file>