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2120" windowHeight="9048" activeTab="0"/>
  </bookViews>
  <sheets>
    <sheet name="Feuil1" sheetId="1" r:id="rId1"/>
    <sheet name="Feuil4" sheetId="2" r:id="rId2"/>
    <sheet name="Feuil2" sheetId="3" r:id="rId3"/>
    <sheet name="Feuil5" sheetId="4" r:id="rId4"/>
  </sheets>
  <definedNames/>
  <calcPr fullCalcOnLoad="1"/>
</workbook>
</file>

<file path=xl/sharedStrings.xml><?xml version="1.0" encoding="utf-8"?>
<sst xmlns="http://schemas.openxmlformats.org/spreadsheetml/2006/main" count="104" uniqueCount="95">
  <si>
    <t>Calcul du BFR :</t>
  </si>
  <si>
    <t>Stocks de MP</t>
  </si>
  <si>
    <t>délai</t>
  </si>
  <si>
    <t>coeff de structure</t>
  </si>
  <si>
    <t>déali en j du CAHT</t>
  </si>
  <si>
    <t>Stocks de PF</t>
  </si>
  <si>
    <t>coût de Pr toral =</t>
  </si>
  <si>
    <t>quantité</t>
  </si>
  <si>
    <t>prix de vente</t>
  </si>
  <si>
    <t>chiffre d'affaires</t>
  </si>
  <si>
    <t>TVA déductibles</t>
  </si>
  <si>
    <t>TVA sur les achats</t>
  </si>
  <si>
    <t>ventes TTC</t>
  </si>
  <si>
    <t>achats TTC</t>
  </si>
  <si>
    <t>TVA colléctée</t>
  </si>
  <si>
    <t>TVA sur les ventes</t>
  </si>
  <si>
    <t>BFR =</t>
  </si>
  <si>
    <t>flux d'investissement</t>
  </si>
  <si>
    <t>31-12-N</t>
  </si>
  <si>
    <t>31-12-N+1</t>
  </si>
  <si>
    <t>31-12-N+2</t>
  </si>
  <si>
    <t>31-12-N+3</t>
  </si>
  <si>
    <t>31-12-N+4</t>
  </si>
  <si>
    <t>31-12-N+5</t>
  </si>
  <si>
    <t>30-09-N</t>
  </si>
  <si>
    <t>30-06-N</t>
  </si>
  <si>
    <t>terrain</t>
  </si>
  <si>
    <t>construction</t>
  </si>
  <si>
    <t>machines</t>
  </si>
  <si>
    <t>Formation</t>
  </si>
  <si>
    <t>Flux d'exploitation</t>
  </si>
  <si>
    <t>chiffres d'affaires</t>
  </si>
  <si>
    <t>BFR</t>
  </si>
  <si>
    <t>EBE (1-35%)</t>
  </si>
  <si>
    <t>economies d'impôts sur amt</t>
  </si>
  <si>
    <t>Flux de désinvestissement</t>
  </si>
  <si>
    <t>Machines</t>
  </si>
  <si>
    <t>Cash-Flows</t>
  </si>
  <si>
    <t>rentabilité économique :</t>
  </si>
  <si>
    <t>D/S</t>
  </si>
  <si>
    <t xml:space="preserve">VAN = </t>
  </si>
  <si>
    <t>Fournisseurs de matières</t>
  </si>
  <si>
    <t>frais d'entretien</t>
  </si>
  <si>
    <t xml:space="preserve">VAN de l'  emprunt  = </t>
  </si>
  <si>
    <t>VAN ajustée :</t>
  </si>
  <si>
    <t>VAN de l'emprunt au taux bonifié :</t>
  </si>
  <si>
    <t>31-12N+3</t>
  </si>
  <si>
    <t>31-12-N+6</t>
  </si>
  <si>
    <t>Economies d'impôts sur interets</t>
  </si>
  <si>
    <t>Cout de la dette avant impôts =</t>
  </si>
  <si>
    <t>Charges proportionnelles</t>
  </si>
  <si>
    <t>Charges fixes hors amortissement</t>
  </si>
  <si>
    <t>Salaires + charges sociales</t>
  </si>
  <si>
    <t>Créances</t>
  </si>
  <si>
    <t>Achats et services extérieurs hors taxes</t>
  </si>
  <si>
    <t>VR construction = 50% de la VCN capitalisée au taux de 10%</t>
  </si>
  <si>
    <t>Récupération BFR = partie du BFR initial non recupérée à la fin de N+3</t>
  </si>
  <si>
    <t>bêta économique</t>
  </si>
  <si>
    <t>bêta action pour un ratio d'endettement de 1/3  =</t>
  </si>
  <si>
    <t>VR terrain = valeur actuelle capitalisée au taux de 10%</t>
  </si>
  <si>
    <t xml:space="preserve">actualisation à 15 % </t>
  </si>
  <si>
    <t xml:space="preserve"> multiplié par le montant de la dette au début de la période.</t>
  </si>
  <si>
    <t>standard, soit:</t>
  </si>
  <si>
    <t>Rentabité économique à Tunis</t>
  </si>
  <si>
    <t>Différentiel de rentabilité economique</t>
  </si>
  <si>
    <t>VAN emprunt bonifié</t>
  </si>
  <si>
    <t xml:space="preserve">VAN ajustée </t>
  </si>
  <si>
    <t>Vérification :</t>
  </si>
  <si>
    <t>Corrigé examen CES session principale 2004</t>
  </si>
  <si>
    <t xml:space="preserve">Pour analyser la rentabilité économique du projet, on doit procéder en 4 étapes: 1) Déterminer le coût d'investissement , </t>
  </si>
  <si>
    <t xml:space="preserve">2) Evaluer le taux de rendement exigé 3) Calculer les flux de trésorerie d'exploitation associés au projet </t>
  </si>
  <si>
    <t>4) Calculer la VAN de base</t>
  </si>
  <si>
    <t>Etape 1: Calcul du coût d'investissement</t>
  </si>
  <si>
    <t xml:space="preserve">Nous commencerons d'abord par évaluer le BFR tout au long de la vie du projet, puis les différents coûts </t>
  </si>
  <si>
    <t>Etape 2: calcul du taux de rendement économique</t>
  </si>
  <si>
    <t>Etape 3: Echéanchier de trésorerie</t>
  </si>
  <si>
    <t>Etape 4: Calcul de la VAN de base</t>
  </si>
  <si>
    <t>C2/ Investissement dans une zone prioritaire</t>
  </si>
  <si>
    <t>C1.2/ VAN du financement :</t>
  </si>
  <si>
    <t>Question C1.1/</t>
  </si>
  <si>
    <t>31-03-N</t>
  </si>
  <si>
    <t>L'avantage financier est égal à la VAN de l'emprunt bonifié et est constitué de deux éléments:</t>
  </si>
  <si>
    <t xml:space="preserve"> (1) l'avantage fiscal effectif et (2) l'avantage indirect qui est égal au différentiel de taux (taux normal - taux bonifié)</t>
  </si>
  <si>
    <t>Pour déterminer la rentabilité économique minimale à réaliser dans une zone prioritaire qui rendrait la société indifférente,</t>
  </si>
  <si>
    <t xml:space="preserve">on devrait avoir l'égalité entre la VAN ajustée dans la zone prioritaire et celle à Tunis. </t>
  </si>
  <si>
    <t>Pour ce faire, on devrait, dans un premier temps, déterminer la rentabilité supplémentaire conséquente à l'avantage financier.</t>
  </si>
  <si>
    <t xml:space="preserve">La rentabité économique minimale exigée pour accepter d'investir dans la zone prioritaire doit correspondre au montant minimal </t>
  </si>
  <si>
    <t>de la VAN de base à partir de duquel la VAN ajustée devient positive =</t>
  </si>
  <si>
    <t>La rentabilité économique minimale est donnée par la différence la VAN de l'emprunt bonifié et la VAN de l'emprunt</t>
  </si>
  <si>
    <t>Ouverture possible (non demandée dans l'examen):</t>
  </si>
  <si>
    <t>On pourrait aussi déterminer la rentabilité économique minimale à réaliser dans la zone prioritaire qui rendrait le projet rentable.</t>
  </si>
  <si>
    <t>VAN effective de lemprunt bonifié =</t>
  </si>
  <si>
    <t>VAN ajustée = VAN de base + VAN emprunt bonifié &gt; 0</t>
  </si>
  <si>
    <t xml:space="preserve">Ainsi, La rentabilité économique minimale à réaliser dans la zone prioritaire devrait être égale au moins à la VAN de lemprunt bonifié = </t>
  </si>
  <si>
    <r>
      <t xml:space="preserve">Donc, la VAN de base doit être </t>
    </r>
    <r>
      <rPr>
        <b/>
        <sz val="10"/>
        <rFont val="Arial"/>
        <family val="2"/>
      </rPr>
      <t>supérieure à (- 18 018,15), pour accepter d'investir dans la zone prioritaire.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</si>
</sst>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0"/>
    <numFmt numFmtId="173" formatCode="0.000"/>
    <numFmt numFmtId="174" formatCode="0.0000"/>
    <numFmt numFmtId="175" formatCode="#,##0.0000"/>
    <numFmt numFmtId="176" formatCode="#,##0.00000"/>
    <numFmt numFmtId="177" formatCode="#,##0.000000"/>
    <numFmt numFmtId="178" formatCode="#,##0.0000000"/>
    <numFmt numFmtId="179" formatCode="#,##0.0"/>
    <numFmt numFmtId="180" formatCode="0.000%"/>
    <numFmt numFmtId="181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4" fontId="0" fillId="0" borderId="2" xfId="0" applyNumberFormat="1" applyBorder="1" applyAlignment="1">
      <alignment horizontal="center"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10" xfId="0" applyFont="1" applyBorder="1" applyAlignment="1">
      <alignment horizontal="left"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4" xfId="0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4" fontId="1" fillId="0" borderId="0" xfId="0" applyNumberFormat="1" applyFont="1" applyAlignment="1">
      <alignment horizontal="center"/>
    </xf>
    <xf numFmtId="3" fontId="1" fillId="0" borderId="8" xfId="0" applyNumberFormat="1" applyFont="1" applyBorder="1" applyAlignment="1">
      <alignment horizontal="center"/>
    </xf>
    <xf numFmtId="173" fontId="1" fillId="0" borderId="3" xfId="0" applyNumberFormat="1" applyFont="1" applyBorder="1" applyAlignment="1">
      <alignment horizontal="center"/>
    </xf>
    <xf numFmtId="173" fontId="1" fillId="0" borderId="5" xfId="0" applyNumberFormat="1" applyFont="1" applyBorder="1" applyAlignment="1">
      <alignment horizontal="center"/>
    </xf>
    <xf numFmtId="173" fontId="1" fillId="0" borderId="9" xfId="0" applyNumberFormat="1" applyFont="1" applyBorder="1" applyAlignment="1">
      <alignment/>
    </xf>
    <xf numFmtId="173" fontId="1" fillId="0" borderId="7" xfId="0" applyNumberFormat="1" applyFont="1" applyBorder="1" applyAlignment="1">
      <alignment horizontal="center"/>
    </xf>
    <xf numFmtId="173" fontId="1" fillId="0" borderId="9" xfId="0" applyNumberFormat="1" applyFont="1" applyBorder="1" applyAlignment="1">
      <alignment horizontal="center"/>
    </xf>
    <xf numFmtId="172" fontId="1" fillId="0" borderId="1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1" fillId="2" borderId="1" xfId="0" applyNumberFormat="1" applyFont="1" applyFill="1" applyBorder="1" applyAlignment="1">
      <alignment horizontal="center"/>
    </xf>
    <xf numFmtId="0" fontId="0" fillId="0" borderId="11" xfId="0" applyBorder="1" applyAlignment="1">
      <alignment horizontal="left" indent="2"/>
    </xf>
    <xf numFmtId="0" fontId="0" fillId="0" borderId="12" xfId="0" applyBorder="1" applyAlignment="1">
      <alignment horizontal="left" indent="2"/>
    </xf>
    <xf numFmtId="0" fontId="1" fillId="0" borderId="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1" xfId="0" applyFill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0" borderId="6" xfId="0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179" fontId="1" fillId="0" borderId="1" xfId="0" applyNumberFormat="1" applyFont="1" applyBorder="1" applyAlignment="1">
      <alignment horizontal="center"/>
    </xf>
    <xf numFmtId="179" fontId="1" fillId="0" borderId="1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 indent="1"/>
    </xf>
    <xf numFmtId="9" fontId="1" fillId="0" borderId="0" xfId="0" applyNumberFormat="1" applyFont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1" fillId="0" borderId="2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28.00390625" style="0" customWidth="1"/>
    <col min="2" max="2" width="16.28125" style="0" customWidth="1"/>
    <col min="3" max="3" width="11.57421875" style="0" customWidth="1"/>
    <col min="4" max="4" width="18.57421875" style="0" customWidth="1"/>
    <col min="5" max="5" width="11.57421875" style="0" customWidth="1"/>
    <col min="6" max="6" width="16.8515625" style="0" customWidth="1"/>
    <col min="7" max="16384" width="11.57421875" style="0" customWidth="1"/>
  </cols>
  <sheetData>
    <row r="1" ht="15">
      <c r="C1" s="83" t="s">
        <v>68</v>
      </c>
    </row>
    <row r="2" ht="15">
      <c r="A2" s="83" t="s">
        <v>79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s="3" t="s">
        <v>72</v>
      </c>
    </row>
    <row r="7" ht="12.75">
      <c r="A7" t="s">
        <v>73</v>
      </c>
    </row>
    <row r="8" ht="13.5">
      <c r="A8" s="84" t="s">
        <v>0</v>
      </c>
    </row>
    <row r="9" spans="2:3" ht="12.75">
      <c r="B9" t="s">
        <v>7</v>
      </c>
      <c r="C9" s="4">
        <v>100000</v>
      </c>
    </row>
    <row r="10" spans="2:3" ht="12.75">
      <c r="B10" t="s">
        <v>8</v>
      </c>
      <c r="C10" s="4">
        <v>12</v>
      </c>
    </row>
    <row r="11" spans="2:3" ht="12.75">
      <c r="B11" t="s">
        <v>9</v>
      </c>
      <c r="C11" s="4">
        <f>C9*C10</f>
        <v>1200000</v>
      </c>
    </row>
    <row r="13" spans="1:6" ht="12.75">
      <c r="A13" s="8" t="s">
        <v>0</v>
      </c>
      <c r="B13" s="12" t="s">
        <v>2</v>
      </c>
      <c r="C13" s="14"/>
      <c r="D13" s="12" t="s">
        <v>3</v>
      </c>
      <c r="E13" s="16"/>
      <c r="F13" s="9" t="s">
        <v>4</v>
      </c>
    </row>
    <row r="14" spans="1:6" ht="12.75">
      <c r="A14" s="64" t="s">
        <v>1</v>
      </c>
      <c r="B14" s="12"/>
      <c r="C14" s="13">
        <v>30</v>
      </c>
      <c r="D14" s="12"/>
      <c r="E14" s="49">
        <f>3/12</f>
        <v>0.25</v>
      </c>
      <c r="F14" s="70">
        <f>C14*E14</f>
        <v>7.5</v>
      </c>
    </row>
    <row r="15" spans="1:6" ht="12.75">
      <c r="A15" s="65" t="s">
        <v>5</v>
      </c>
      <c r="B15" s="12"/>
      <c r="C15" s="13">
        <v>20</v>
      </c>
      <c r="D15" s="17" t="s">
        <v>6</v>
      </c>
      <c r="E15" s="50">
        <f>D16/C11</f>
        <v>0.615</v>
      </c>
      <c r="F15" s="71">
        <f>E15*C15</f>
        <v>12.3</v>
      </c>
    </row>
    <row r="16" spans="1:6" ht="12.75">
      <c r="A16" s="66"/>
      <c r="B16" s="12"/>
      <c r="C16" s="13"/>
      <c r="D16" s="48">
        <f>((3+2+0.9)*100000)+(70000+58000+20000)</f>
        <v>738000</v>
      </c>
      <c r="E16" s="51"/>
      <c r="F16" s="55"/>
    </row>
    <row r="17" spans="1:6" ht="12.75">
      <c r="A17" s="64" t="s">
        <v>53</v>
      </c>
      <c r="B17" s="12"/>
      <c r="C17" s="13">
        <f>(60+90)/2</f>
        <v>75</v>
      </c>
      <c r="D17" s="15" t="s">
        <v>12</v>
      </c>
      <c r="E17" s="49">
        <f>0.3+(0.7*1.18)</f>
        <v>1.126</v>
      </c>
      <c r="F17" s="69">
        <f>C17*E17</f>
        <v>84.44999999999999</v>
      </c>
    </row>
    <row r="18" spans="1:6" ht="12.75">
      <c r="A18" s="65" t="s">
        <v>10</v>
      </c>
      <c r="B18" s="17"/>
      <c r="C18" s="18">
        <f>28+(0+30)/2</f>
        <v>43</v>
      </c>
      <c r="D18" s="17" t="s">
        <v>11</v>
      </c>
      <c r="E18" s="50">
        <f>(D20*0.18)/C11</f>
        <v>0.075</v>
      </c>
      <c r="F18" s="75">
        <f>E18*C18</f>
        <v>3.225</v>
      </c>
    </row>
    <row r="19" spans="1:6" ht="12.75">
      <c r="A19" s="67"/>
      <c r="B19" s="19"/>
      <c r="C19" s="20"/>
      <c r="D19" s="68" t="s">
        <v>54</v>
      </c>
      <c r="E19" s="52"/>
      <c r="F19" s="56"/>
    </row>
    <row r="20" spans="1:6" ht="12.75">
      <c r="A20" s="66"/>
      <c r="B20" s="21"/>
      <c r="C20" s="22"/>
      <c r="D20" s="48">
        <f>(3+2)*100000</f>
        <v>500000</v>
      </c>
      <c r="E20" s="53"/>
      <c r="F20" s="55"/>
    </row>
    <row r="21" spans="1:6" ht="12.75">
      <c r="A21" s="64" t="s">
        <v>41</v>
      </c>
      <c r="B21" s="12"/>
      <c r="C21" s="13">
        <f>(30+60)/2</f>
        <v>45</v>
      </c>
      <c r="D21" s="12" t="s">
        <v>13</v>
      </c>
      <c r="E21" s="49">
        <f>(3*1.18)/12</f>
        <v>0.295</v>
      </c>
      <c r="F21" s="54">
        <f>E21*C21</f>
        <v>13.274999999999999</v>
      </c>
    </row>
    <row r="22" spans="1:6" ht="12.75">
      <c r="A22" s="64" t="s">
        <v>14</v>
      </c>
      <c r="B22" s="12"/>
      <c r="C22" s="13">
        <f>C18</f>
        <v>43</v>
      </c>
      <c r="D22" s="12" t="s">
        <v>15</v>
      </c>
      <c r="E22" s="49">
        <f>0.18*(0.7)</f>
        <v>0.126</v>
      </c>
      <c r="F22" s="54">
        <f>C22*E22</f>
        <v>5.418</v>
      </c>
    </row>
    <row r="23" spans="1:6" ht="12.75">
      <c r="A23" s="64" t="s">
        <v>52</v>
      </c>
      <c r="B23" s="12"/>
      <c r="C23" s="13"/>
      <c r="D23" s="12"/>
      <c r="E23" s="13"/>
      <c r="F23" s="72">
        <v>3</v>
      </c>
    </row>
    <row r="24" spans="1:6" ht="12.75">
      <c r="A24" s="8"/>
      <c r="B24" s="15"/>
      <c r="C24" s="16"/>
      <c r="D24" s="25"/>
      <c r="E24" s="16"/>
      <c r="F24" s="57"/>
    </row>
    <row r="25" spans="1:6" ht="12.75">
      <c r="A25" s="73" t="s">
        <v>16</v>
      </c>
      <c r="B25" s="28"/>
      <c r="C25" s="29"/>
      <c r="D25" s="28"/>
      <c r="E25" s="29"/>
      <c r="F25" s="58">
        <f>F14+F15+F17+F18-(F21+F22+F23)</f>
        <v>85.78199999999998</v>
      </c>
    </row>
    <row r="28" ht="12.75">
      <c r="F28" s="24"/>
    </row>
    <row r="29" ht="12.75">
      <c r="E29" s="6"/>
    </row>
    <row r="30" spans="2:3" ht="12.75">
      <c r="B30" s="1"/>
      <c r="C30" s="24"/>
    </row>
    <row r="31" spans="2:3" ht="12.75">
      <c r="B31" s="1"/>
      <c r="C31" s="23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0">
      <selection activeCell="D33" sqref="D33"/>
    </sheetView>
  </sheetViews>
  <sheetFormatPr defaultColWidth="9.140625" defaultRowHeight="12.75"/>
  <cols>
    <col min="1" max="16384" width="11.57421875" style="0" customWidth="1"/>
  </cols>
  <sheetData>
    <row r="1" ht="12.75">
      <c r="A1" s="3" t="s">
        <v>74</v>
      </c>
    </row>
    <row r="2" spans="1:4" ht="12.75">
      <c r="A2" s="39" t="s">
        <v>38</v>
      </c>
      <c r="D2" s="81">
        <f>6.6%+(13.6%-6.6%)*D5</f>
        <v>0.15000000000000002</v>
      </c>
    </row>
    <row r="3" spans="1:4" ht="12.75">
      <c r="A3" s="39" t="s">
        <v>58</v>
      </c>
      <c r="D3" s="41">
        <v>1.59</v>
      </c>
    </row>
    <row r="4" spans="1:4" ht="12.75">
      <c r="A4" s="39" t="s">
        <v>39</v>
      </c>
      <c r="D4" s="41">
        <f>(1/3)/(2/3)</f>
        <v>0.5</v>
      </c>
    </row>
    <row r="5" spans="1:4" ht="12.75">
      <c r="A5" s="39" t="s">
        <v>57</v>
      </c>
      <c r="D5" s="41">
        <f>D3*(1/(1+(65%*(D4))))</f>
        <v>1.2000000000000002</v>
      </c>
    </row>
    <row r="6" ht="12.75">
      <c r="A6" s="3"/>
    </row>
    <row r="7" ht="12.75">
      <c r="A7" s="3" t="s">
        <v>75</v>
      </c>
    </row>
    <row r="8" spans="6:10" ht="12.75">
      <c r="F8">
        <v>1</v>
      </c>
      <c r="G8">
        <v>2</v>
      </c>
      <c r="H8">
        <v>3</v>
      </c>
      <c r="I8">
        <v>4</v>
      </c>
      <c r="J8">
        <v>5</v>
      </c>
    </row>
    <row r="9" spans="2:10" ht="12.75">
      <c r="B9" s="2" t="s">
        <v>80</v>
      </c>
      <c r="C9" s="2" t="s">
        <v>25</v>
      </c>
      <c r="D9" s="2" t="s">
        <v>24</v>
      </c>
      <c r="E9" s="2" t="s">
        <v>18</v>
      </c>
      <c r="F9" s="2" t="s">
        <v>19</v>
      </c>
      <c r="G9" s="2" t="s">
        <v>20</v>
      </c>
      <c r="H9" s="2" t="s">
        <v>21</v>
      </c>
      <c r="I9" s="2" t="s">
        <v>22</v>
      </c>
      <c r="J9" s="2" t="s">
        <v>23</v>
      </c>
    </row>
    <row r="10" spans="1:10" ht="12.75">
      <c r="A10" s="30" t="s">
        <v>17</v>
      </c>
      <c r="B10" s="31">
        <f aca="true" t="shared" si="0" ref="B10:J10">-(B11+B12+B13+B14+B15)</f>
        <v>-150000</v>
      </c>
      <c r="C10" s="31">
        <f>-C12</f>
        <v>-100000</v>
      </c>
      <c r="D10" s="31">
        <f>-(D14)</f>
        <v>-21000</v>
      </c>
      <c r="E10" s="31">
        <f t="shared" si="0"/>
        <v>-878752</v>
      </c>
      <c r="F10" s="31">
        <f t="shared" si="0"/>
        <v>0</v>
      </c>
      <c r="G10" s="31">
        <f t="shared" si="0"/>
        <v>0</v>
      </c>
      <c r="H10" s="31">
        <f t="shared" si="0"/>
        <v>42891</v>
      </c>
      <c r="I10" s="31">
        <f t="shared" si="0"/>
        <v>0</v>
      </c>
      <c r="J10" s="31">
        <f t="shared" si="0"/>
        <v>0</v>
      </c>
    </row>
    <row r="11" spans="1:10" ht="12.75">
      <c r="A11" s="59" t="s">
        <v>26</v>
      </c>
      <c r="B11" s="32">
        <v>100000</v>
      </c>
      <c r="C11" s="32"/>
      <c r="D11" s="32"/>
      <c r="F11" s="32"/>
      <c r="G11" s="32"/>
      <c r="H11" s="32"/>
      <c r="I11" s="32"/>
      <c r="J11" s="32"/>
    </row>
    <row r="12" spans="1:10" ht="12.75">
      <c r="A12" s="59" t="s">
        <v>27</v>
      </c>
      <c r="B12" s="32">
        <v>50000</v>
      </c>
      <c r="C12" s="32">
        <v>100000</v>
      </c>
      <c r="E12" s="32">
        <v>50000</v>
      </c>
      <c r="F12" s="32"/>
      <c r="G12" s="32"/>
      <c r="H12" s="32"/>
      <c r="I12" s="32"/>
      <c r="J12" s="32"/>
    </row>
    <row r="13" spans="1:10" ht="12.75">
      <c r="A13" s="59" t="s">
        <v>28</v>
      </c>
      <c r="B13" s="32"/>
      <c r="C13" s="32"/>
      <c r="D13" s="32"/>
      <c r="E13" s="32">
        <f>3*200000</f>
        <v>600000</v>
      </c>
      <c r="F13" s="32"/>
      <c r="G13" s="32"/>
      <c r="H13" s="32"/>
      <c r="I13" s="32"/>
      <c r="J13" s="32"/>
    </row>
    <row r="14" spans="1:10" ht="12.75">
      <c r="A14" s="59" t="s">
        <v>29</v>
      </c>
      <c r="B14" s="32"/>
      <c r="C14" s="32"/>
      <c r="D14" s="32">
        <v>21000</v>
      </c>
      <c r="E14" s="32"/>
      <c r="F14" s="32"/>
      <c r="G14" s="32"/>
      <c r="H14" s="32"/>
      <c r="I14" s="32"/>
      <c r="J14" s="32"/>
    </row>
    <row r="15" spans="1:10" ht="12.75">
      <c r="A15" s="60" t="s">
        <v>32</v>
      </c>
      <c r="B15" s="33"/>
      <c r="C15" s="33"/>
      <c r="D15" s="33"/>
      <c r="E15" s="33">
        <f>F17*(Feuil1!F25/360)</f>
        <v>228751.99999999997</v>
      </c>
      <c r="F15" s="33">
        <f>(G17*(Feuil1!F25/360))-E15</f>
        <v>0</v>
      </c>
      <c r="G15" s="33">
        <f>(H17*(Feuil1!F25/360))-(F15+E15)</f>
        <v>0</v>
      </c>
      <c r="H15" s="33">
        <f>(I17*(Feuil1!F25/360))-(G15+F15+E15)</f>
        <v>-42891</v>
      </c>
      <c r="I15" s="33">
        <f>(J17*(Feuil1!F25/360))-(H15+G15+F15+E15)</f>
        <v>0</v>
      </c>
      <c r="J15" s="33">
        <v>0</v>
      </c>
    </row>
    <row r="16" spans="1:10" ht="12.75">
      <c r="A16" s="34" t="s">
        <v>30</v>
      </c>
      <c r="B16" s="31"/>
      <c r="C16" s="31"/>
      <c r="D16" s="31"/>
      <c r="E16" s="31"/>
      <c r="F16" s="31">
        <f>F21+F22</f>
        <v>262050</v>
      </c>
      <c r="G16" s="31">
        <f>G21+G22</f>
        <v>262050</v>
      </c>
      <c r="H16" s="31">
        <f>H21+H22</f>
        <v>262050</v>
      </c>
      <c r="I16" s="31">
        <f>I21+I22</f>
        <v>206949.99999999997</v>
      </c>
      <c r="J16" s="31">
        <f>J21+J22</f>
        <v>206949.99999999997</v>
      </c>
    </row>
    <row r="17" spans="1:10" ht="12.75">
      <c r="A17" s="59" t="s">
        <v>31</v>
      </c>
      <c r="B17" s="32"/>
      <c r="C17" s="32"/>
      <c r="D17" s="32"/>
      <c r="E17" s="32"/>
      <c r="F17" s="32">
        <f>E13*1.6</f>
        <v>960000</v>
      </c>
      <c r="G17" s="32">
        <f>F17</f>
        <v>960000</v>
      </c>
      <c r="H17" s="32">
        <f>G17</f>
        <v>960000</v>
      </c>
      <c r="I17" s="32">
        <f>1.3*E13</f>
        <v>780000</v>
      </c>
      <c r="J17" s="32">
        <f>I17</f>
        <v>780000</v>
      </c>
    </row>
    <row r="18" spans="1:10" ht="12.75">
      <c r="A18" s="59" t="s">
        <v>50</v>
      </c>
      <c r="B18" s="32"/>
      <c r="C18" s="32"/>
      <c r="D18" s="32"/>
      <c r="E18" s="32"/>
      <c r="F18" s="32">
        <f>F17*0.55</f>
        <v>528000</v>
      </c>
      <c r="G18" s="32">
        <f>G17*0.55</f>
        <v>528000</v>
      </c>
      <c r="H18" s="32">
        <f>H17*0.55</f>
        <v>528000</v>
      </c>
      <c r="I18" s="32">
        <f>I17*0.55</f>
        <v>429000.00000000006</v>
      </c>
      <c r="J18" s="32">
        <f>J17*0.55</f>
        <v>429000.00000000006</v>
      </c>
    </row>
    <row r="19" spans="1:10" ht="12.75">
      <c r="A19" s="59" t="s">
        <v>51</v>
      </c>
      <c r="B19" s="32"/>
      <c r="C19" s="32"/>
      <c r="D19" s="32"/>
      <c r="E19" s="32"/>
      <c r="F19" s="32">
        <f>(70000+20000+20000+10000)*0.8</f>
        <v>96000</v>
      </c>
      <c r="G19" s="32">
        <f>(70000+20000+20000+10000)*0.8</f>
        <v>96000</v>
      </c>
      <c r="H19" s="32">
        <f>(70000+20000+20000+10000)*0.8</f>
        <v>96000</v>
      </c>
      <c r="I19" s="32">
        <f>(70000+20000+20000+10000)*0.8</f>
        <v>96000</v>
      </c>
      <c r="J19" s="32">
        <f>(70000+20000+20000+10000)*0.8</f>
        <v>96000</v>
      </c>
    </row>
    <row r="20" spans="1:10" ht="12.75">
      <c r="A20" s="59" t="s">
        <v>42</v>
      </c>
      <c r="B20" s="32"/>
      <c r="C20" s="32"/>
      <c r="D20" s="32"/>
      <c r="E20" s="32"/>
      <c r="F20" s="32">
        <f>4000*3</f>
        <v>12000</v>
      </c>
      <c r="G20" s="32">
        <f>4000*3</f>
        <v>12000</v>
      </c>
      <c r="H20" s="32">
        <f>4000*3</f>
        <v>12000</v>
      </c>
      <c r="I20" s="32">
        <f>4000*3</f>
        <v>12000</v>
      </c>
      <c r="J20" s="32">
        <f>4000*3</f>
        <v>12000</v>
      </c>
    </row>
    <row r="21" spans="1:10" ht="12.75">
      <c r="A21" s="59" t="s">
        <v>33</v>
      </c>
      <c r="B21" s="32"/>
      <c r="C21" s="32"/>
      <c r="D21" s="32"/>
      <c r="E21" s="32"/>
      <c r="F21" s="32">
        <f>(F17-F18-F19-F20)*65%</f>
        <v>210600</v>
      </c>
      <c r="G21" s="32">
        <f>(G17-G18-G19-G20)*65%</f>
        <v>210600</v>
      </c>
      <c r="H21" s="32">
        <f>(H17-H18-H19-H20)*65%</f>
        <v>210600</v>
      </c>
      <c r="I21" s="32">
        <f>(I17-I18-I19-I20)*65%</f>
        <v>157949.99999999997</v>
      </c>
      <c r="J21" s="32">
        <f>(J17-J18-J19-J20)*65%</f>
        <v>157949.99999999997</v>
      </c>
    </row>
    <row r="22" spans="1:10" ht="12.75">
      <c r="A22" s="60" t="s">
        <v>34</v>
      </c>
      <c r="B22" s="33"/>
      <c r="C22" s="33"/>
      <c r="D22" s="33"/>
      <c r="E22" s="33"/>
      <c r="F22" s="33">
        <f>35%*((D14/3)+(E13/5)+((B12+C12+E12)/10))</f>
        <v>51450</v>
      </c>
      <c r="G22" s="33">
        <f>35%*((D14/3)+(E13/5)+((B12+C12+E12)/10))</f>
        <v>51450</v>
      </c>
      <c r="H22" s="33">
        <f>35%*((D14/3)+(E13/5)+((B12+C12+E12)/10))</f>
        <v>51450</v>
      </c>
      <c r="I22" s="33">
        <f>35%*((E13/5)+(B12+C12+E12)/10)</f>
        <v>49000</v>
      </c>
      <c r="J22" s="33">
        <f>35%*((E13/5)+(B12+C12+E12)/10)</f>
        <v>49000</v>
      </c>
    </row>
    <row r="23" spans="1:10" ht="12.75">
      <c r="A23" s="34" t="s">
        <v>35</v>
      </c>
      <c r="B23" s="31"/>
      <c r="C23" s="31"/>
      <c r="D23" s="31"/>
      <c r="E23" s="31"/>
      <c r="F23" s="31"/>
      <c r="G23" s="31"/>
      <c r="H23" s="31"/>
      <c r="I23" s="31"/>
      <c r="J23" s="31">
        <f>J24+J25+J26+J27</f>
        <v>507963.0000000001</v>
      </c>
    </row>
    <row r="24" spans="1:10" ht="12.75">
      <c r="A24" s="59" t="s">
        <v>59</v>
      </c>
      <c r="B24" s="32"/>
      <c r="C24" s="32"/>
      <c r="D24" s="32"/>
      <c r="E24" s="32"/>
      <c r="F24" s="32"/>
      <c r="G24" s="32"/>
      <c r="H24" s="32"/>
      <c r="I24" s="32"/>
      <c r="J24" s="32">
        <f>B11*1.1^5</f>
        <v>161051.00000000006</v>
      </c>
    </row>
    <row r="25" spans="1:10" ht="12.75">
      <c r="A25" s="59" t="s">
        <v>55</v>
      </c>
      <c r="B25" s="32"/>
      <c r="C25" s="32"/>
      <c r="D25" s="32"/>
      <c r="E25" s="32"/>
      <c r="F25" s="32"/>
      <c r="G25" s="32"/>
      <c r="H25" s="32"/>
      <c r="I25" s="32"/>
      <c r="J25" s="32">
        <f>50%*((B12+C12+E12)*(1.1^5))</f>
        <v>161051.00000000006</v>
      </c>
    </row>
    <row r="26" spans="1:10" ht="12.75">
      <c r="A26" s="59" t="s">
        <v>36</v>
      </c>
      <c r="B26" s="32"/>
      <c r="C26" s="32"/>
      <c r="D26" s="32"/>
      <c r="E26" s="32"/>
      <c r="F26" s="32"/>
      <c r="G26" s="32"/>
      <c r="H26" s="32"/>
      <c r="I26" s="32"/>
      <c r="J26" s="32">
        <v>0</v>
      </c>
    </row>
    <row r="27" spans="1:10" ht="12.75">
      <c r="A27" s="60" t="s">
        <v>56</v>
      </c>
      <c r="B27" s="33"/>
      <c r="C27" s="33"/>
      <c r="D27" s="33"/>
      <c r="E27" s="33"/>
      <c r="F27" s="33"/>
      <c r="G27" s="33"/>
      <c r="H27" s="33"/>
      <c r="I27" s="33"/>
      <c r="J27" s="33">
        <f>E15+H15</f>
        <v>185860.99999999997</v>
      </c>
    </row>
    <row r="28" spans="1:10" ht="12.75">
      <c r="A28" s="61" t="s">
        <v>37</v>
      </c>
      <c r="B28" s="36">
        <f aca="true" t="shared" si="1" ref="B28:J28">B10+B16+B23</f>
        <v>-150000</v>
      </c>
      <c r="C28" s="36">
        <f>C10</f>
        <v>-100000</v>
      </c>
      <c r="D28" s="36">
        <f t="shared" si="1"/>
        <v>-21000</v>
      </c>
      <c r="E28" s="36">
        <f t="shared" si="1"/>
        <v>-878752</v>
      </c>
      <c r="F28" s="36">
        <f t="shared" si="1"/>
        <v>262050</v>
      </c>
      <c r="G28" s="36">
        <f t="shared" si="1"/>
        <v>262050</v>
      </c>
      <c r="H28" s="36">
        <f t="shared" si="1"/>
        <v>304941</v>
      </c>
      <c r="I28" s="36">
        <f t="shared" si="1"/>
        <v>206949.99999999997</v>
      </c>
      <c r="J28" s="36">
        <f t="shared" si="1"/>
        <v>714913.0000000001</v>
      </c>
    </row>
    <row r="29" spans="1:10" ht="12.75">
      <c r="A29" s="62"/>
      <c r="B29" s="45"/>
      <c r="C29" s="45"/>
      <c r="D29" s="45"/>
      <c r="E29" s="45"/>
      <c r="F29" s="45"/>
      <c r="G29" s="45"/>
      <c r="H29" s="45"/>
      <c r="I29" s="45"/>
      <c r="J29" s="45"/>
    </row>
    <row r="30" spans="1:10" ht="12.75">
      <c r="A30" s="62" t="s">
        <v>76</v>
      </c>
      <c r="B30" s="45"/>
      <c r="C30" s="45"/>
      <c r="D30" s="45"/>
      <c r="E30" s="45"/>
      <c r="F30" s="45"/>
      <c r="G30" s="45"/>
      <c r="H30" s="45"/>
      <c r="I30" s="45"/>
      <c r="J30" s="45"/>
    </row>
    <row r="31" spans="1:10" ht="12.75">
      <c r="A31" s="62"/>
      <c r="B31" s="45"/>
      <c r="C31" s="45"/>
      <c r="D31" s="45"/>
      <c r="E31" s="45"/>
      <c r="F31" s="45"/>
      <c r="G31" s="45"/>
      <c r="H31" s="45"/>
      <c r="I31" s="45"/>
      <c r="J31" s="45"/>
    </row>
    <row r="32" spans="1:10" ht="12.75">
      <c r="A32" s="63" t="s">
        <v>60</v>
      </c>
      <c r="B32" s="4">
        <f>B28*(1.15)^(-1/4)</f>
        <v>-144849.43281009787</v>
      </c>
      <c r="C32" s="4">
        <f>C28*(1.15)^(-6/12)</f>
        <v>-93250.48082403137</v>
      </c>
      <c r="D32" s="4">
        <f>D28*(1.15)^(-9/12)</f>
        <v>-18910.190959281794</v>
      </c>
      <c r="E32" s="4">
        <f>E28*(1.15)^(-1)</f>
        <v>-764132.1739130436</v>
      </c>
      <c r="F32" s="4">
        <f>F28*(1.15)^(-2)</f>
        <v>198147.4480151229</v>
      </c>
      <c r="G32" s="4">
        <f>G28*(1.15)^(-3)</f>
        <v>172302.12870880254</v>
      </c>
      <c r="H32" s="4">
        <f>H28*(1.15)^(-4)</f>
        <v>174351.0064643852</v>
      </c>
      <c r="I32" s="4">
        <f>I28*(1.15)^(-5)</f>
        <v>102890.72536998107</v>
      </c>
      <c r="J32" s="4">
        <f>J28*(1.15)^(-6)</f>
        <v>309076.6185759186</v>
      </c>
    </row>
    <row r="33" spans="1:5" ht="12.75">
      <c r="A33" s="37"/>
      <c r="B33" s="38" t="s">
        <v>40</v>
      </c>
      <c r="C33" s="38"/>
      <c r="D33" s="38">
        <f>B32+C32+D32+E32+F32+G32+H32+I32+J32</f>
        <v>-64374.351372244244</v>
      </c>
      <c r="E33" s="46"/>
    </row>
    <row r="34" spans="1:5" ht="12.75">
      <c r="A34" s="42"/>
      <c r="B34" s="43"/>
      <c r="C34" s="43"/>
      <c r="D34" s="43"/>
      <c r="E34" s="44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28">
      <selection activeCell="A53" sqref="A53"/>
    </sheetView>
  </sheetViews>
  <sheetFormatPr defaultColWidth="9.140625" defaultRowHeight="12.75"/>
  <cols>
    <col min="1" max="1" width="35.28125" style="0" customWidth="1"/>
    <col min="2" max="2" width="11.57421875" style="0" customWidth="1"/>
    <col min="3" max="3" width="12.7109375" style="0" customWidth="1"/>
    <col min="4" max="6" width="11.57421875" style="0" customWidth="1"/>
    <col min="7" max="7" width="12.140625" style="0" bestFit="1" customWidth="1"/>
    <col min="8" max="16384" width="11.57421875" style="0" customWidth="1"/>
  </cols>
  <sheetData>
    <row r="1" ht="12.75">
      <c r="A1" s="3" t="s">
        <v>78</v>
      </c>
    </row>
    <row r="2" spans="3:7" ht="12.75">
      <c r="C2" s="11" t="s">
        <v>19</v>
      </c>
      <c r="D2" s="11" t="s">
        <v>20</v>
      </c>
      <c r="E2" s="11" t="s">
        <v>21</v>
      </c>
      <c r="F2" s="11" t="s">
        <v>22</v>
      </c>
      <c r="G2" s="11" t="s">
        <v>23</v>
      </c>
    </row>
    <row r="3" spans="1:7" ht="12.75">
      <c r="A3" s="4" t="s">
        <v>48</v>
      </c>
      <c r="C3" s="35">
        <f>Feuil4!E13*8%*35%</f>
        <v>16800</v>
      </c>
      <c r="D3" s="35">
        <f>C3</f>
        <v>16800</v>
      </c>
      <c r="E3" s="35">
        <f>D3</f>
        <v>16800</v>
      </c>
      <c r="F3" s="35">
        <f>E3</f>
        <v>16800</v>
      </c>
      <c r="G3" s="35">
        <f>F3</f>
        <v>16800</v>
      </c>
    </row>
    <row r="4" spans="3:7" ht="12.75">
      <c r="C4" s="8"/>
      <c r="D4" s="8"/>
      <c r="E4" s="8"/>
      <c r="F4" s="8"/>
      <c r="G4" s="8"/>
    </row>
    <row r="5" spans="1:7" ht="12.75">
      <c r="A5" t="s">
        <v>49</v>
      </c>
      <c r="C5" s="26">
        <f>C3*((1+A6)^-2)</f>
        <v>14403.292181069957</v>
      </c>
      <c r="D5" s="26">
        <f>D3*((1+A6)^-3)</f>
        <v>13336.38164913885</v>
      </c>
      <c r="E5" s="26">
        <f>E3*((1+A6)^-4)</f>
        <v>12348.501526980415</v>
      </c>
      <c r="F5" s="26">
        <f>F3*((1+A6)^-5)</f>
        <v>11433.797710167051</v>
      </c>
      <c r="G5" s="26">
        <f>G3*((1+A6)^-6)</f>
        <v>10586.849731636155</v>
      </c>
    </row>
    <row r="6" spans="1:7" ht="12.75">
      <c r="A6" s="74">
        <f>8%</f>
        <v>0.08</v>
      </c>
      <c r="C6" s="8"/>
      <c r="D6" s="8"/>
      <c r="E6" s="8"/>
      <c r="F6" s="8"/>
      <c r="G6" s="8"/>
    </row>
    <row r="7" spans="1:7" ht="12.75">
      <c r="A7" s="3" t="s">
        <v>43</v>
      </c>
      <c r="B7" s="7">
        <f>C5+D5+E5+F5+G5</f>
        <v>62108.82279899243</v>
      </c>
      <c r="C7" s="8"/>
      <c r="D7" s="8"/>
      <c r="E7" s="8"/>
      <c r="F7" s="8"/>
      <c r="G7" s="8"/>
    </row>
    <row r="8" spans="2:7" ht="12.75">
      <c r="B8" s="6"/>
      <c r="C8" s="8"/>
      <c r="D8" s="8"/>
      <c r="E8" s="27"/>
      <c r="F8" s="8"/>
      <c r="G8" s="8"/>
    </row>
    <row r="9" spans="2:7" ht="12.75">
      <c r="B9" s="6"/>
      <c r="C9" s="8"/>
      <c r="D9" s="8"/>
      <c r="E9" s="8"/>
      <c r="F9" s="8"/>
      <c r="G9" s="8"/>
    </row>
    <row r="10" spans="1:7" ht="12.75">
      <c r="A10" s="5" t="s">
        <v>44</v>
      </c>
      <c r="B10" s="7">
        <f>Feuil4!D33+B7</f>
        <v>-2265.528573251817</v>
      </c>
      <c r="C10" s="8"/>
      <c r="D10" s="8"/>
      <c r="E10" s="8"/>
      <c r="F10" s="8"/>
      <c r="G10" s="8"/>
    </row>
    <row r="11" spans="3:7" ht="12.75">
      <c r="C11" s="8"/>
      <c r="D11" s="8"/>
      <c r="E11" s="8"/>
      <c r="F11" s="8"/>
      <c r="G11" s="8"/>
    </row>
    <row r="12" spans="3:7" ht="12.75">
      <c r="C12" s="40"/>
      <c r="D12" s="40"/>
      <c r="E12" s="40"/>
      <c r="F12" s="40"/>
      <c r="G12" s="40"/>
    </row>
    <row r="13" spans="1:7" s="3" customFormat="1" ht="12.75">
      <c r="A13" s="3" t="s">
        <v>77</v>
      </c>
      <c r="C13" s="82"/>
      <c r="D13" s="82"/>
      <c r="E13" s="82"/>
      <c r="F13" s="82"/>
      <c r="G13" s="82"/>
    </row>
    <row r="15" ht="12.75">
      <c r="A15" t="s">
        <v>83</v>
      </c>
    </row>
    <row r="16" ht="12.75">
      <c r="A16" t="s">
        <v>84</v>
      </c>
    </row>
    <row r="17" ht="12.75">
      <c r="A17" t="s">
        <v>85</v>
      </c>
    </row>
    <row r="18" ht="12.75">
      <c r="A18" t="s">
        <v>81</v>
      </c>
    </row>
    <row r="19" ht="12.75">
      <c r="A19" t="s">
        <v>82</v>
      </c>
    </row>
    <row r="20" ht="12.75">
      <c r="A20" t="s">
        <v>61</v>
      </c>
    </row>
    <row r="22" spans="1:7" ht="12.75">
      <c r="A22" s="3" t="s">
        <v>45</v>
      </c>
      <c r="C22" s="8" t="s">
        <v>20</v>
      </c>
      <c r="D22" s="8" t="s">
        <v>46</v>
      </c>
      <c r="E22" s="8" t="s">
        <v>22</v>
      </c>
      <c r="F22" s="8" t="s">
        <v>23</v>
      </c>
      <c r="G22" s="8" t="s">
        <v>47</v>
      </c>
    </row>
    <row r="23" spans="3:7" ht="12.75">
      <c r="C23" s="35">
        <f>(Feuil4!E13*3%*35%)+(Feuil4!E13*(8%-3%))</f>
        <v>36300</v>
      </c>
      <c r="D23" s="35">
        <f>C23</f>
        <v>36300</v>
      </c>
      <c r="E23" s="35">
        <f>D23</f>
        <v>36300</v>
      </c>
      <c r="F23" s="35">
        <f>E23</f>
        <v>36300</v>
      </c>
      <c r="G23" s="35">
        <f>F23</f>
        <v>36300</v>
      </c>
    </row>
    <row r="24" spans="1:7" ht="12.75">
      <c r="A24" s="47">
        <f>C24+D24+E24+F24+G24</f>
        <v>134199.42069068007</v>
      </c>
      <c r="C24" s="26">
        <f>C23*((1+A6)^-2)</f>
        <v>31121.399176954732</v>
      </c>
      <c r="D24" s="26">
        <f>D23*((1+A6)^-3)</f>
        <v>28816.110349032155</v>
      </c>
      <c r="E24" s="26">
        <f>E23*((1+A6)^-4)</f>
        <v>26681.583656511255</v>
      </c>
      <c r="F24" s="26">
        <f>F23*((1+A6)^-5)</f>
        <v>24705.170052325237</v>
      </c>
      <c r="G24" s="26">
        <f>G23*((1+A6)^-6)</f>
        <v>22875.157455856694</v>
      </c>
    </row>
    <row r="25" spans="3:7" ht="12.75">
      <c r="C25" s="26"/>
      <c r="D25" s="26"/>
      <c r="E25" s="27"/>
      <c r="F25" s="8"/>
      <c r="G25" s="10"/>
    </row>
    <row r="26" spans="3:7" ht="12.75">
      <c r="C26" s="26"/>
      <c r="D26" s="26"/>
      <c r="E26" s="8"/>
      <c r="F26" s="27"/>
      <c r="G26" s="8"/>
    </row>
    <row r="28" ht="12.75">
      <c r="A28" t="s">
        <v>88</v>
      </c>
    </row>
    <row r="29" spans="1:2" ht="12.75">
      <c r="A29" t="s">
        <v>62</v>
      </c>
      <c r="B29" s="7">
        <f>-(A24-Feuil2!B7)</f>
        <v>-72090.59789168765</v>
      </c>
    </row>
    <row r="31" ht="13.5" thickBot="1">
      <c r="A31" s="3" t="s">
        <v>67</v>
      </c>
    </row>
    <row r="32" spans="1:3" ht="13.5" thickBot="1">
      <c r="A32" s="37" t="s">
        <v>63</v>
      </c>
      <c r="B32" s="46"/>
      <c r="C32" s="79">
        <f>Feuil4!D33</f>
        <v>-64374.351372244244</v>
      </c>
    </row>
    <row r="33" spans="1:4" ht="13.5" thickBot="1">
      <c r="A33" s="39" t="s">
        <v>64</v>
      </c>
      <c r="B33" s="40"/>
      <c r="C33" s="85">
        <f>B29</f>
        <v>-72090.59789168765</v>
      </c>
      <c r="D33" s="81"/>
    </row>
    <row r="34" spans="1:4" ht="12.75">
      <c r="A34" s="42" t="s">
        <v>65</v>
      </c>
      <c r="B34" s="44"/>
      <c r="C34" s="80">
        <f>A24</f>
        <v>134199.42069068007</v>
      </c>
      <c r="D34" s="47"/>
    </row>
    <row r="35" spans="1:3" ht="12.75">
      <c r="A35" s="78" t="s">
        <v>66</v>
      </c>
      <c r="B35" s="77"/>
      <c r="C35" s="76">
        <f>C32+C33+C34</f>
        <v>-2265.528573251824</v>
      </c>
    </row>
    <row r="37" ht="12.75">
      <c r="A37" s="3" t="s">
        <v>89</v>
      </c>
    </row>
    <row r="38" ht="12.75">
      <c r="A38" t="s">
        <v>90</v>
      </c>
    </row>
    <row r="39" spans="1:2" ht="12.75">
      <c r="A39" t="s">
        <v>86</v>
      </c>
      <c r="B39" s="7"/>
    </row>
    <row r="40" ht="12.75">
      <c r="A40" t="s">
        <v>87</v>
      </c>
    </row>
    <row r="41" ht="12.75">
      <c r="A41" t="s">
        <v>92</v>
      </c>
    </row>
    <row r="42" ht="12.75">
      <c r="A42" t="s">
        <v>93</v>
      </c>
    </row>
    <row r="43" spans="3:7" ht="12.75">
      <c r="C43" s="35">
        <f>(Feuil4!E13*3%*35%)</f>
        <v>6300</v>
      </c>
      <c r="D43" s="35">
        <f>C43</f>
        <v>6300</v>
      </c>
      <c r="E43" s="35">
        <f>D43</f>
        <v>6300</v>
      </c>
      <c r="F43" s="35">
        <f>E43</f>
        <v>6300</v>
      </c>
      <c r="G43" s="35">
        <f>F43</f>
        <v>6300</v>
      </c>
    </row>
    <row r="44" spans="1:7" ht="12.75">
      <c r="A44" t="s">
        <v>91</v>
      </c>
      <c r="B44" s="7">
        <f>SUM(C44:G44)</f>
        <v>18018.145410292356</v>
      </c>
      <c r="C44" s="26">
        <f>C43*((1+6)^-2)</f>
        <v>128.57142857142856</v>
      </c>
      <c r="D44" s="26">
        <f>D43*((1+A6)^-3)</f>
        <v>5001.143118427069</v>
      </c>
      <c r="E44" s="26">
        <f>E43*((1+A6)^-4)</f>
        <v>4630.688072617656</v>
      </c>
      <c r="F44" s="26">
        <f>F43*((1+A6)^-5)</f>
        <v>4287.674141312644</v>
      </c>
      <c r="G44" s="26">
        <f>G43*((1+A6)^-6)</f>
        <v>3970.0686493635585</v>
      </c>
    </row>
    <row r="46" ht="12.75">
      <c r="A46" t="s">
        <v>94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AKRMI</dc:creator>
  <cp:keywords/>
  <dc:description/>
  <cp:lastModifiedBy>ines</cp:lastModifiedBy>
  <cp:lastPrinted>2004-06-20T16:56:31Z</cp:lastPrinted>
  <dcterms:created xsi:type="dcterms:W3CDTF">2004-05-22T10:05:47Z</dcterms:created>
  <dcterms:modified xsi:type="dcterms:W3CDTF">2005-10-27T21:31:24Z</dcterms:modified>
  <cp:category/>
  <cp:version/>
  <cp:contentType/>
  <cp:contentStatus/>
</cp:coreProperties>
</file>